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https://epagresearch-my.sharepoint.com/personal/andrew_epagresearch_com_au/Documents/"/>
    </mc:Choice>
  </mc:AlternateContent>
  <xr:revisionPtr revIDLastSave="0" documentId="8_{5DBA03F5-FC08-4660-ADEB-4FA0690FFE56}" xr6:coauthVersionLast="47" xr6:coauthVersionMax="47" xr10:uidLastSave="{00000000-0000-0000-0000-000000000000}"/>
  <bookViews>
    <workbookView xWindow="57480" yWindow="-120" windowWidth="29040" windowHeight="15720" activeTab="3" xr2:uid="{00000000-000D-0000-FFFF-FFFF00000000}"/>
  </bookViews>
  <sheets>
    <sheet name="Introduction" sheetId="5" r:id="rId1"/>
    <sheet name="Calculating crop dry matter" sheetId="14" r:id="rId2"/>
    <sheet name="Printable DM recording sheet" sheetId="8" r:id="rId3"/>
    <sheet name="Costs and income calculator" sheetId="3" r:id="rId4"/>
    <sheet name="Price sensitivity chart" sheetId="13" r:id="rId5"/>
    <sheet name="Price sensitivity data" sheetId="4" state="hidden" r:id="rId6"/>
  </sheets>
  <definedNames>
    <definedName name="_xlnm.Print_Area" localSheetId="1">'Calculating crop dry matter'!$A$1:$T$53</definedName>
    <definedName name="_xlnm.Print_Area" localSheetId="3">'Costs and income calculator'!$A$1:$X$73</definedName>
    <definedName name="_xlnm.Print_Area" localSheetId="0">Introduction!$A$1:$A$20</definedName>
    <definedName name="_xlnm.Print_Area" localSheetId="4">'Price sensitivity chart'!$A$1:$Q$37</definedName>
    <definedName name="_xlnm.Print_Area" localSheetId="2">'Printable DM recording sheet'!$A$1:$H$32</definedName>
    <definedName name="Z_B91870FC_B5B0_4E5E_AD1A_355FE5061E07_.wvu.Cols" localSheetId="3" hidden="1">'Costs and income calculator'!$AC:$AE</definedName>
    <definedName name="Z_B91870FC_B5B0_4E5E_AD1A_355FE5061E07_.wvu.PrintArea" localSheetId="3" hidden="1">'Costs and income calculator'!$A$1:$X$73</definedName>
    <definedName name="Z_B91870FC_B5B0_4E5E_AD1A_355FE5061E07_.wvu.PrintArea" localSheetId="0" hidden="1">Introduction!$A$1:$A$20</definedName>
    <definedName name="Z_B91870FC_B5B0_4E5E_AD1A_355FE5061E07_.wvu.PrintArea" localSheetId="4" hidden="1">'Price sensitivity chart'!$A$1:$Q$37</definedName>
    <definedName name="Z_B91870FC_B5B0_4E5E_AD1A_355FE5061E07_.wvu.PrintArea" localSheetId="2" hidden="1">'Printable DM recording sheet'!$A$1:$H$32</definedName>
  </definedNames>
  <calcPr calcId="191029"/>
  <customWorkbookViews>
    <customWorkbookView name="Peter Matthews - Personal View" guid="{B91870FC-B5B0-4E5E-AD1A-355FE5061E07}" mergeInterval="0" personalView="1" maximized="1" windowWidth="1920" windowHeight="807"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6" i="3" l="1"/>
  <c r="T46" i="3"/>
  <c r="R46" i="3"/>
  <c r="H33" i="3" l="1"/>
  <c r="L16" i="3" l="1"/>
  <c r="B2" i="13" l="1"/>
  <c r="L2" i="13"/>
  <c r="G2" i="13"/>
  <c r="F18" i="8" l="1"/>
  <c r="G18" i="8"/>
  <c r="H18" i="8"/>
  <c r="E18" i="8"/>
  <c r="H23" i="8" l="1"/>
  <c r="G23" i="8"/>
  <c r="F23" i="8"/>
  <c r="E23" i="8"/>
  <c r="H19" i="8"/>
  <c r="H26" i="8" s="1"/>
  <c r="G19" i="8"/>
  <c r="G26" i="8" s="1"/>
  <c r="F19" i="8"/>
  <c r="F26" i="8" s="1"/>
  <c r="E19" i="8"/>
  <c r="E26" i="8" s="1"/>
  <c r="E31" i="8" s="1"/>
  <c r="C30" i="8"/>
  <c r="C25" i="8"/>
  <c r="T18" i="3"/>
  <c r="T20" i="3" s="1"/>
  <c r="T40" i="3" s="1"/>
  <c r="T41" i="3"/>
  <c r="T52" i="3" s="1"/>
  <c r="T39" i="3"/>
  <c r="R41" i="3"/>
  <c r="R52" i="3" s="1"/>
  <c r="J19" i="3"/>
  <c r="L30" i="3"/>
  <c r="L44" i="3" s="1"/>
  <c r="J30" i="3"/>
  <c r="J44" i="3" s="1"/>
  <c r="L57" i="3"/>
  <c r="C19" i="3"/>
  <c r="C25" i="3" s="1"/>
  <c r="C53" i="3" s="1"/>
  <c r="E16" i="3"/>
  <c r="E19" i="3"/>
  <c r="E25" i="3" s="1"/>
  <c r="C12" i="3"/>
  <c r="A40" i="3"/>
  <c r="J12" i="3"/>
  <c r="R18" i="3"/>
  <c r="R20" i="3" s="1"/>
  <c r="R40" i="3" s="1"/>
  <c r="R39" i="3"/>
  <c r="W39" i="3"/>
  <c r="W41" i="3"/>
  <c r="L49" i="3"/>
  <c r="W52" i="3"/>
  <c r="J59" i="3" l="1"/>
  <c r="L59" i="3" s="1"/>
  <c r="J53" i="3"/>
  <c r="E23" i="3"/>
  <c r="E53" i="3"/>
  <c r="T35" i="3"/>
  <c r="T29" i="3" s="1"/>
  <c r="L53" i="3"/>
  <c r="W53" i="3"/>
  <c r="T53" i="3"/>
  <c r="R53" i="3"/>
  <c r="E39" i="3"/>
  <c r="E38" i="3"/>
  <c r="E37" i="3"/>
  <c r="L19" i="3"/>
  <c r="L21" i="3" s="1"/>
  <c r="R35" i="3"/>
  <c r="Q29" i="3" s="1"/>
  <c r="J21" i="3"/>
  <c r="E59" i="3"/>
  <c r="W18" i="3"/>
  <c r="W20" i="3" s="1"/>
  <c r="W40" i="3" s="1"/>
  <c r="W35" i="3" s="1"/>
  <c r="W29" i="3" s="1"/>
  <c r="J60" i="3"/>
  <c r="D8" i="4"/>
  <c r="D9" i="4"/>
  <c r="D13" i="4"/>
  <c r="L60" i="3"/>
  <c r="E24" i="3"/>
  <c r="C23" i="3"/>
  <c r="C39" i="3" s="1"/>
  <c r="C26" i="3"/>
  <c r="D12" i="4"/>
  <c r="D4" i="4"/>
  <c r="D7" i="4"/>
  <c r="E26" i="3"/>
  <c r="J20" i="3"/>
  <c r="C59" i="3"/>
  <c r="J31" i="3"/>
  <c r="J46" i="3" s="1"/>
  <c r="D2" i="4"/>
  <c r="D3" i="4"/>
  <c r="D10" i="4"/>
  <c r="D11" i="4"/>
  <c r="D6" i="4"/>
  <c r="D5" i="4"/>
  <c r="J54" i="3"/>
  <c r="W54" i="3" l="1"/>
  <c r="R54" i="3"/>
  <c r="T54" i="3"/>
  <c r="E44" i="3"/>
  <c r="E54" i="3" s="1"/>
  <c r="L20" i="3"/>
  <c r="L31" i="3"/>
  <c r="L46" i="3" s="1"/>
  <c r="L54" i="3"/>
  <c r="C24" i="3"/>
  <c r="C37" i="3"/>
  <c r="C44" i="3" s="1"/>
  <c r="C60" i="3" l="1"/>
  <c r="E60" i="3"/>
  <c r="E46" i="3"/>
  <c r="E45" i="3"/>
  <c r="C2" i="4"/>
  <c r="C7" i="4"/>
  <c r="C4" i="4"/>
  <c r="C3" i="4"/>
  <c r="C5" i="4"/>
  <c r="C6" i="4"/>
  <c r="B12" i="4" l="1"/>
  <c r="B4" i="4"/>
  <c r="C54" i="3"/>
  <c r="B2" i="4"/>
  <c r="B6" i="4"/>
  <c r="B3" i="4"/>
  <c r="B5" i="4"/>
  <c r="B8" i="4"/>
  <c r="B7" i="4"/>
  <c r="B9" i="4"/>
  <c r="C45" i="3"/>
  <c r="C46" i="3"/>
  <c r="B10" i="4"/>
  <c r="B13" i="4"/>
  <c r="B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Matthews</author>
  </authors>
  <commentList>
    <comment ref="E14" authorId="0" shapeId="0" xr:uid="{00000000-0006-0000-0200-000001000000}">
      <text>
        <r>
          <rPr>
            <b/>
            <sz val="9"/>
            <color indexed="81"/>
            <rFont val="Tahoma"/>
            <family val="2"/>
          </rPr>
          <t>Insert at least one value in Dry 1 - Dry 4 boxes</t>
        </r>
        <r>
          <rPr>
            <sz val="9"/>
            <color indexed="81"/>
            <rFont val="Tahoma"/>
            <family val="2"/>
          </rPr>
          <t xml:space="preserve">
</t>
        </r>
      </text>
    </comment>
  </commentList>
</comments>
</file>

<file path=xl/sharedStrings.xml><?xml version="1.0" encoding="utf-8"?>
<sst xmlns="http://schemas.openxmlformats.org/spreadsheetml/2006/main" count="301" uniqueCount="224">
  <si>
    <t>t DM/ha</t>
  </si>
  <si>
    <t>Bale weight</t>
  </si>
  <si>
    <t>t/bale</t>
  </si>
  <si>
    <t>Estimated energy content</t>
  </si>
  <si>
    <t>/ha</t>
  </si>
  <si>
    <t>Total product weight</t>
  </si>
  <si>
    <t>Costs</t>
  </si>
  <si>
    <t>Cut</t>
  </si>
  <si>
    <t>Condition</t>
  </si>
  <si>
    <t>/t DM</t>
  </si>
  <si>
    <t>/t product</t>
  </si>
  <si>
    <t>/MJ</t>
  </si>
  <si>
    <t>Total income</t>
  </si>
  <si>
    <t>Income less costs</t>
  </si>
  <si>
    <t>Silage</t>
  </si>
  <si>
    <t>Hay</t>
  </si>
  <si>
    <t>Contract</t>
  </si>
  <si>
    <t>t/ha</t>
  </si>
  <si>
    <t>km/hr</t>
  </si>
  <si>
    <t>m</t>
  </si>
  <si>
    <t>ha/hr</t>
  </si>
  <si>
    <t>t/hr</t>
  </si>
  <si>
    <t>Bags/ac</t>
  </si>
  <si>
    <t>kg DM/ha</t>
  </si>
  <si>
    <t>kg/head/day</t>
  </si>
  <si>
    <t>Stocking rate</t>
  </si>
  <si>
    <t>head/ha</t>
  </si>
  <si>
    <t>Tonnage/hr</t>
  </si>
  <si>
    <t>Area/hr</t>
  </si>
  <si>
    <t>dressing percentage</t>
  </si>
  <si>
    <t>Dressing percentage</t>
  </si>
  <si>
    <t>Stock weight into the paddock</t>
  </si>
  <si>
    <t>Extra costs with grazing the crop</t>
  </si>
  <si>
    <t>% of body weight</t>
  </si>
  <si>
    <t>Income summary</t>
  </si>
  <si>
    <t>Estimated yield</t>
  </si>
  <si>
    <t>Uncut residual dry matter</t>
  </si>
  <si>
    <t>Total dry matter harvested</t>
  </si>
  <si>
    <t>for wheat</t>
  </si>
  <si>
    <t>days grazing time</t>
  </si>
  <si>
    <t>or</t>
  </si>
  <si>
    <t>Grain for harvest</t>
  </si>
  <si>
    <t>Owner operator</t>
  </si>
  <si>
    <t>Cartage to silo</t>
  </si>
  <si>
    <r>
      <t xml:space="preserve">Product price </t>
    </r>
    <r>
      <rPr>
        <sz val="8"/>
        <rFont val="Arial"/>
        <family val="2"/>
      </rPr>
      <t>(on farm)</t>
    </r>
  </si>
  <si>
    <r>
      <t xml:space="preserve">Cost/hr </t>
    </r>
    <r>
      <rPr>
        <sz val="8"/>
        <rFont val="Arial"/>
        <family val="2"/>
      </rPr>
      <t>(includes fuel)</t>
    </r>
  </si>
  <si>
    <t>*  The grazing calculations assume no crop growth.</t>
  </si>
  <si>
    <t xml:space="preserve">Grazing with </t>
  </si>
  <si>
    <t>*  Wind erosion of overgrazed paddocks is a serious threat.  A strategic approach is needed to ensure adequate ground cover is maintained at the end of grazing.</t>
  </si>
  <si>
    <r>
      <t xml:space="preserve">Carcass price </t>
    </r>
    <r>
      <rPr>
        <sz val="8"/>
        <rFont val="Arial"/>
        <family val="2"/>
      </rPr>
      <t>(dressed)</t>
    </r>
  </si>
  <si>
    <t>*  The grazing calculations above for prime lambs or prime cattle assume stock are already on hand.  Purchase and other variable costs are not included.</t>
  </si>
  <si>
    <t>Inefficiency</t>
  </si>
  <si>
    <t>(i.e. % of time unloading or overlapping)</t>
  </si>
  <si>
    <t>Agistment fee</t>
  </si>
  <si>
    <t>Stock class</t>
  </si>
  <si>
    <t>Cattle</t>
  </si>
  <si>
    <t>Grazing period or allotted time</t>
  </si>
  <si>
    <t>Spoilage or loss due to trampling</t>
  </si>
  <si>
    <t>Fodder cut for</t>
  </si>
  <si>
    <t>t/ac</t>
  </si>
  <si>
    <r>
      <t xml:space="preserve">(cut to ground level </t>
    </r>
    <r>
      <rPr>
        <b/>
        <sz val="12"/>
        <rFont val="Arial"/>
        <family val="2"/>
      </rPr>
      <t>with no</t>
    </r>
    <r>
      <rPr>
        <sz val="12"/>
        <rFont val="Arial"/>
        <family val="2"/>
      </rPr>
      <t xml:space="preserve"> moisture)</t>
    </r>
  </si>
  <si>
    <t>Total crop dry matter</t>
  </si>
  <si>
    <t>Total crop wet weight</t>
  </si>
  <si>
    <t xml:space="preserve">t /ha </t>
  </si>
  <si>
    <r>
      <t xml:space="preserve">(cut to ground level </t>
    </r>
    <r>
      <rPr>
        <b/>
        <sz val="10"/>
        <rFont val="Arial"/>
        <family val="2"/>
      </rPr>
      <t>with</t>
    </r>
    <r>
      <rPr>
        <sz val="10"/>
        <rFont val="Arial"/>
        <family val="2"/>
      </rPr>
      <t xml:space="preserve"> </t>
    </r>
  </si>
  <si>
    <t>Dry matter content of product</t>
  </si>
  <si>
    <t>Total herbage mass</t>
  </si>
  <si>
    <t>Notes that apply to fodder calculations</t>
  </si>
  <si>
    <t>Notes that apply to grain harvesting calculations</t>
  </si>
  <si>
    <t>Notes that apply to grazing calculations</t>
  </si>
  <si>
    <t>Bales produced</t>
  </si>
  <si>
    <t>bales/ha</t>
  </si>
  <si>
    <t>bales/ac</t>
  </si>
  <si>
    <t>/bale</t>
  </si>
  <si>
    <t>/t</t>
  </si>
  <si>
    <t>/hr</t>
  </si>
  <si>
    <t>/head/week</t>
  </si>
  <si>
    <t>/head</t>
  </si>
  <si>
    <t>Calculated costs</t>
  </si>
  <si>
    <t>Total cost summary</t>
  </si>
  <si>
    <t>/hd/grazing time</t>
  </si>
  <si>
    <t>per tonne of grain</t>
  </si>
  <si>
    <t>Total extra costs from grazing</t>
  </si>
  <si>
    <t>Grazable herbage mass</t>
  </si>
  <si>
    <t>% of grazable herbage</t>
  </si>
  <si>
    <t>kg DM/head/day</t>
  </si>
  <si>
    <t>Daily feed intake per head</t>
  </si>
  <si>
    <t>Total feed intake per ha</t>
  </si>
  <si>
    <t>Calculated animal performance</t>
  </si>
  <si>
    <t>kg live wt/head</t>
  </si>
  <si>
    <t>/kg dressed wt</t>
  </si>
  <si>
    <t>Total live weight gain per head</t>
  </si>
  <si>
    <t>Income / head</t>
  </si>
  <si>
    <t>kg/head</t>
  </si>
  <si>
    <r>
      <t>Feed intake</t>
    </r>
    <r>
      <rPr>
        <b/>
        <sz val="9"/>
        <rFont val="Arial"/>
        <family val="2"/>
      </rPr>
      <t xml:space="preserve"> </t>
    </r>
    <r>
      <rPr>
        <sz val="9"/>
        <rFont val="Arial"/>
        <family val="2"/>
      </rPr>
      <t>(see notes below)</t>
    </r>
  </si>
  <si>
    <r>
      <t xml:space="preserve">Live weight gain </t>
    </r>
    <r>
      <rPr>
        <sz val="9"/>
        <rFont val="Arial"/>
        <family val="2"/>
      </rPr>
      <t>(see notes below)</t>
    </r>
  </si>
  <si>
    <t>*  Beware that low crop volumes can cause issues with dirt contamination and reduced silage quality.</t>
  </si>
  <si>
    <r>
      <t xml:space="preserve">Estimated field losses </t>
    </r>
    <r>
      <rPr>
        <sz val="9"/>
        <rFont val="Arial"/>
        <family val="2"/>
      </rPr>
      <t>(after cutting)</t>
    </r>
  </si>
  <si>
    <t>Sheep</t>
  </si>
  <si>
    <t>*  Live weight gain and feed intake are closely related to feed quality.  Seek advice to ensure the accuracy of your live weight gain estimates.</t>
  </si>
  <si>
    <t>Price</t>
  </si>
  <si>
    <t>Grain (contract harvest)</t>
  </si>
  <si>
    <t>Crop dry matter % at cutting</t>
  </si>
  <si>
    <t>dry matter)</t>
  </si>
  <si>
    <t>Energy yield and cost summary</t>
  </si>
  <si>
    <t>MJ/ha</t>
  </si>
  <si>
    <t>* The above energy yield and cost summary assumes grain moisture of 12%.</t>
  </si>
  <si>
    <t>Interpreting this graph</t>
  </si>
  <si>
    <t>General comments</t>
  </si>
  <si>
    <t xml:space="preserve">*  Loss of ground cover following crop removal in the form of hay or silage can make the soil more prone to wind erosion and less conducive to the capture and storage of summer fallow rainfall.  This effect is not costed into the above scenario's.  </t>
  </si>
  <si>
    <t>*  Fire has proven to be a serious risk to hay made from drought stressed crops, particularly those that are cut for hay while the head is in the boot.  The above figures do not take into account the higher risk of hay compared to the other crop salvage alternatives.</t>
  </si>
  <si>
    <t>*  The potential detrimental effects of grazing cropping paddocks is not costed into the above calculations.  These potential effects include soil compaction and loss of ground cover.</t>
  </si>
  <si>
    <t>*  The grain income figures do not include any income from grazing or cutting and baling of stubble following harvest.  This may need to be factored in and added onto the bottom line if grazing or cutting and baling will occur.  However, if grazing or cutting and baling of stubbles occurs then the potential detrimental effects of these practices also needs to be considered as discussed in the preceding points.</t>
  </si>
  <si>
    <t>This graph allows you to determine comparitive product prices of hay, silage and grain that result in a similar amount of income less harvest costs.</t>
  </si>
  <si>
    <t>for barley or canola</t>
  </si>
  <si>
    <t>Costs and income calculator</t>
  </si>
  <si>
    <t>Salvaging crops for fodder, grain or grazing</t>
  </si>
  <si>
    <t>For more information on suitable values for your farming operation seek advice from your local agronomist or livestock adviser.</t>
  </si>
  <si>
    <t>Prime lambs Opt2</t>
  </si>
  <si>
    <t>Prime cattle Opt1</t>
  </si>
  <si>
    <t>Prime cattle Opt2</t>
  </si>
  <si>
    <t>Prime lambs Opt1</t>
  </si>
  <si>
    <t>Bale</t>
  </si>
  <si>
    <t>Rake</t>
  </si>
  <si>
    <t>Disclaimer</t>
  </si>
  <si>
    <t xml:space="preserve"> September 2018</t>
  </si>
  <si>
    <t>PADDOCK NUMBER/NAME:</t>
  </si>
  <si>
    <t>CUT 1</t>
  </si>
  <si>
    <t>CUT 2</t>
  </si>
  <si>
    <t>CUT 3</t>
  </si>
  <si>
    <t>CUT 4</t>
  </si>
  <si>
    <t>(to be dried in microwave)</t>
  </si>
  <si>
    <r>
      <t xml:space="preserve"> </t>
    </r>
    <r>
      <rPr>
        <b/>
        <sz val="11"/>
        <rFont val="Arial"/>
        <family val="2"/>
      </rPr>
      <t xml:space="preserve">[a] </t>
    </r>
  </si>
  <si>
    <t xml:space="preserve">[b] </t>
  </si>
  <si>
    <t>[c]</t>
  </si>
  <si>
    <t>[d]</t>
  </si>
  <si>
    <t>[e]</t>
  </si>
  <si>
    <t>Example:</t>
  </si>
  <si>
    <t xml:space="preserve"> × 10</t>
  </si>
  <si>
    <t xml:space="preserve"> x 100</t>
  </si>
  <si>
    <r>
      <t xml:space="preserve">Instructions: </t>
    </r>
    <r>
      <rPr>
        <b/>
        <sz val="14"/>
        <rFont val="Arial"/>
        <family val="2"/>
      </rPr>
      <t>only</t>
    </r>
    <r>
      <rPr>
        <sz val="14"/>
        <rFont val="Arial"/>
        <family val="2"/>
      </rPr>
      <t xml:space="preserve"> enter data into the </t>
    </r>
    <r>
      <rPr>
        <b/>
        <sz val="14"/>
        <color indexed="40"/>
        <rFont val="Arial"/>
        <family val="2"/>
      </rPr>
      <t>blue cells</t>
    </r>
    <r>
      <rPr>
        <sz val="14"/>
        <rFont val="Arial"/>
        <family val="2"/>
      </rPr>
      <t xml:space="preserve">.  All </t>
    </r>
    <r>
      <rPr>
        <b/>
        <sz val="14"/>
        <color indexed="40"/>
        <rFont val="Arial"/>
        <family val="2"/>
      </rPr>
      <t>blue cells</t>
    </r>
    <r>
      <rPr>
        <sz val="14"/>
        <rFont val="Arial"/>
        <family val="2"/>
      </rPr>
      <t xml:space="preserve"> need to contain figures relevant to your situation.  </t>
    </r>
  </si>
  <si>
    <t>Cutting height:</t>
  </si>
  <si>
    <t>Acknowledgements: This calculator was originally created by former NSW DPI District Agronomists Ken Motley and Jan Edwards.</t>
  </si>
  <si>
    <t>Crop type</t>
  </si>
  <si>
    <t>Wheat</t>
  </si>
  <si>
    <t>Canola</t>
  </si>
  <si>
    <t>Final</t>
  </si>
  <si>
    <t>Dry 1</t>
  </si>
  <si>
    <t>Dry 2</t>
  </si>
  <si>
    <t>Dry 4</t>
  </si>
  <si>
    <t>Row spacing  (cm)</t>
  </si>
  <si>
    <r>
      <t>Total sample wet weight</t>
    </r>
    <r>
      <rPr>
        <b/>
        <sz val="11"/>
        <rFont val="Arial"/>
        <family val="2"/>
      </rPr>
      <t xml:space="preserve"> </t>
    </r>
    <r>
      <rPr>
        <b/>
        <sz val="10"/>
        <rFont val="Arial"/>
        <family val="2"/>
      </rPr>
      <t xml:space="preserve"> (grams)</t>
    </r>
  </si>
  <si>
    <t>Subsample wet weight  (grams)</t>
  </si>
  <si>
    <r>
      <t xml:space="preserve">(Place in </t>
    </r>
    <r>
      <rPr>
        <b/>
        <sz val="10"/>
        <color indexed="30"/>
        <rFont val="Arial"/>
        <family val="2"/>
      </rPr>
      <t>Costs and income calculator sheet</t>
    </r>
    <r>
      <rPr>
        <sz val="10"/>
        <rFont val="Arial"/>
        <family val="2"/>
      </rPr>
      <t xml:space="preserve"> </t>
    </r>
  </si>
  <si>
    <t xml:space="preserve">Subsample dry weight  (grams)   </t>
  </si>
  <si>
    <t>Dry 3</t>
  </si>
  <si>
    <t>until dry weight stabilises)</t>
  </si>
  <si>
    <t>Percentage dry matter  (%)</t>
  </si>
  <si>
    <t>Total crop wet weight  (kg/ha)</t>
  </si>
  <si>
    <t>Total dry matter  (kg DM/ha)</t>
  </si>
  <si>
    <r>
      <t xml:space="preserve"> = (100 ÷ Row spacing </t>
    </r>
    <r>
      <rPr>
        <b/>
        <sz val="11"/>
        <rFont val="Arial"/>
        <family val="2"/>
      </rPr>
      <t>[a]</t>
    </r>
    <r>
      <rPr>
        <sz val="10"/>
        <rFont val="Arial"/>
        <family val="2"/>
      </rPr>
      <t xml:space="preserve">) × Total wet weight </t>
    </r>
    <r>
      <rPr>
        <b/>
        <sz val="11"/>
        <rFont val="Arial"/>
        <family val="2"/>
      </rPr>
      <t>[b]</t>
    </r>
    <r>
      <rPr>
        <sz val="10"/>
        <rFont val="Arial"/>
        <family val="2"/>
      </rPr>
      <t xml:space="preserve"> × 10</t>
    </r>
  </si>
  <si>
    <t xml:space="preserve"> =(100 ÷ 22 cm) </t>
  </si>
  <si>
    <t xml:space="preserve"> =(100 ÷ 22 cm)</t>
  </si>
  <si>
    <r>
      <t xml:space="preserve"> = (sub. dry weight </t>
    </r>
    <r>
      <rPr>
        <b/>
        <sz val="11"/>
        <rFont val="Arial"/>
        <family val="2"/>
      </rPr>
      <t>[d]</t>
    </r>
    <r>
      <rPr>
        <sz val="10"/>
        <rFont val="Arial"/>
        <family val="2"/>
      </rPr>
      <t xml:space="preserve">  ÷  sub. wet weight </t>
    </r>
    <r>
      <rPr>
        <b/>
        <sz val="11"/>
        <rFont val="Arial"/>
        <family val="2"/>
      </rPr>
      <t>[c]</t>
    </r>
    <r>
      <rPr>
        <sz val="10"/>
        <rFont val="Arial"/>
        <family val="2"/>
      </rPr>
      <t>) × 100</t>
    </r>
  </si>
  <si>
    <r>
      <t xml:space="preserve"> = (100 ÷ Row spacing</t>
    </r>
    <r>
      <rPr>
        <b/>
        <sz val="11"/>
        <rFont val="Arial"/>
        <family val="2"/>
      </rPr>
      <t xml:space="preserve"> [a]</t>
    </r>
    <r>
      <rPr>
        <sz val="10"/>
        <rFont val="Arial"/>
        <family val="2"/>
      </rPr>
      <t xml:space="preserve">) × Total wet weight </t>
    </r>
    <r>
      <rPr>
        <b/>
        <sz val="11"/>
        <rFont val="Arial"/>
        <family val="2"/>
      </rPr>
      <t>[b]</t>
    </r>
  </si>
  <si>
    <r>
      <t xml:space="preserve">× (%DM </t>
    </r>
    <r>
      <rPr>
        <b/>
        <sz val="11"/>
        <rFont val="Arial"/>
        <family val="2"/>
      </rPr>
      <t>[e]</t>
    </r>
    <r>
      <rPr>
        <sz val="10"/>
        <rFont val="Arial"/>
        <family val="2"/>
      </rPr>
      <t xml:space="preserve"> ÷ 100) × 10</t>
    </r>
  </si>
  <si>
    <t>C10</t>
  </si>
  <si>
    <t>C11</t>
  </si>
  <si>
    <r>
      <t xml:space="preserve"> - Crop dry matter % at cutting [</t>
    </r>
    <r>
      <rPr>
        <b/>
        <sz val="11"/>
        <rFont val="Arial"/>
        <family val="2"/>
      </rPr>
      <t>C11</t>
    </r>
    <r>
      <rPr>
        <sz val="10"/>
        <rFont val="Arial"/>
        <family val="2"/>
      </rPr>
      <t xml:space="preserve"> cell])</t>
    </r>
  </si>
  <si>
    <t xml:space="preserve">(record progressive drying weights from microwave, </t>
  </si>
  <si>
    <t xml:space="preserve"> =( 42 g ÷ 140 g)</t>
  </si>
  <si>
    <t>× 230 g × 10</t>
  </si>
  <si>
    <t xml:space="preserve">× 230 g </t>
  </si>
  <si>
    <t>× (30% ÷ 100)</t>
  </si>
  <si>
    <t>The information contained in this publication is based on knowledge and understanding at the time of writing (September 2018) and may not be accurate, current or complete. The State of New South Wales (including the NSW Department of Industry), the author and the publisher take no responsibility, and will accept no liability, for the accuracy, currency, reliability or correctness of any information included in the document (including material provided by third parties). Readers should make their own inquiries and rely on their own advice when making decisions related to material contained in this publication.</t>
  </si>
  <si>
    <t>Ground level</t>
  </si>
  <si>
    <t xml:space="preserve"> - Managing and preparing for drought 2018</t>
  </si>
  <si>
    <t>This workbook also includes instructions for calculating paddock crop dry matter biomass and a recording sheet for use in working out crop biomass.</t>
  </si>
  <si>
    <t>* Calculated grazing periods are estimates only and growers should actively monitor stock for feed availability and animal health issues.</t>
  </si>
  <si>
    <t xml:space="preserve">The cost and income comparison between fodder, grain and grazing does not take into account the longer term risks and consequences of each crop salvage option.  </t>
  </si>
  <si>
    <t>Some of the longer term risks and consequences that may need consideration include:</t>
  </si>
  <si>
    <t>[f]</t>
  </si>
  <si>
    <t>NSW DPI website - www.dpi.nsw.gov.au</t>
  </si>
  <si>
    <t xml:space="preserve"> - Canola hay and silage fact sheet</t>
  </si>
  <si>
    <t>Grains Research &amp; Development Corporation (GRDC) website - www.grdc.com.au</t>
  </si>
  <si>
    <t>Silage wrapping</t>
  </si>
  <si>
    <t>Cartage</t>
  </si>
  <si>
    <t>Property:</t>
  </si>
  <si>
    <t>Crop type:</t>
  </si>
  <si>
    <t>Paddock name:</t>
  </si>
  <si>
    <t xml:space="preserve"> – Costs and income calculator</t>
  </si>
  <si>
    <t xml:space="preserve"> - Download the Drought Feed Calculator from the DPI DroughtHub</t>
  </si>
  <si>
    <t xml:space="preserve">Additional information on using salvaged crops for fodder and livestock feeding can be found on the: </t>
  </si>
  <si>
    <r>
      <rPr>
        <sz val="10"/>
        <rFont val="Arial"/>
        <family val="2"/>
      </rPr>
      <t>(place in</t>
    </r>
    <r>
      <rPr>
        <b/>
        <sz val="10"/>
        <rFont val="Arial"/>
        <family val="2"/>
      </rPr>
      <t xml:space="preserve"> </t>
    </r>
    <r>
      <rPr>
        <b/>
        <sz val="10"/>
        <color indexed="30"/>
        <rFont val="Arial"/>
        <family val="2"/>
      </rPr>
      <t>Costs and income calculator sheet</t>
    </r>
    <r>
      <rPr>
        <b/>
        <sz val="10"/>
        <rFont val="Arial"/>
        <family val="2"/>
      </rPr>
      <t xml:space="preserve">  – </t>
    </r>
    <r>
      <rPr>
        <sz val="10"/>
        <rFont val="Arial"/>
        <family val="2"/>
      </rPr>
      <t>Total crop dry matter [</t>
    </r>
    <r>
      <rPr>
        <b/>
        <sz val="11"/>
        <rFont val="Arial"/>
        <family val="2"/>
      </rPr>
      <t xml:space="preserve">C10 </t>
    </r>
    <r>
      <rPr>
        <sz val="10"/>
        <rFont val="Arial"/>
        <family val="2"/>
      </rPr>
      <t>cell]</t>
    </r>
    <r>
      <rPr>
        <b/>
        <sz val="10"/>
        <rFont val="Arial"/>
        <family val="2"/>
      </rPr>
      <t>)</t>
    </r>
  </si>
  <si>
    <t>Average paddock dry matter  (tonnes DM/ha)</t>
  </si>
  <si>
    <t xml:space="preserve">Do not assume that any of the default input figures are correct for your situation. Incorrect data will produce nonsense results.  </t>
  </si>
  <si>
    <t>Property name</t>
  </si>
  <si>
    <t>Paddock name</t>
  </si>
  <si>
    <r>
      <t xml:space="preserve">(use the crop DM percentage (%) </t>
    </r>
    <r>
      <rPr>
        <b/>
        <sz val="14"/>
        <rFont val="Arial"/>
        <family val="2"/>
      </rPr>
      <t>[e]</t>
    </r>
    <r>
      <rPr>
        <sz val="12"/>
        <rFont val="Arial"/>
        <family val="2"/>
      </rPr>
      <t xml:space="preserve"> from </t>
    </r>
    <r>
      <rPr>
        <b/>
        <sz val="12"/>
        <rFont val="Arial"/>
        <family val="2"/>
      </rPr>
      <t xml:space="preserve">DM recording </t>
    </r>
    <r>
      <rPr>
        <sz val="12"/>
        <rFont val="Arial"/>
        <family val="2"/>
      </rPr>
      <t>sheet)</t>
    </r>
  </si>
  <si>
    <t>Comb width</t>
  </si>
  <si>
    <t>Prime stock</t>
  </si>
  <si>
    <t>Agisted stock</t>
  </si>
  <si>
    <t>per hectare</t>
  </si>
  <si>
    <t>per tonne of dry matter</t>
  </si>
  <si>
    <t>per tonne of product</t>
  </si>
  <si>
    <t>Optimal grazing period required to use available feed</t>
  </si>
  <si>
    <t>Total energy yield</t>
  </si>
  <si>
    <t>Cost per unit of energy</t>
  </si>
  <si>
    <r>
      <t xml:space="preserve">*  </t>
    </r>
    <r>
      <rPr>
        <sz val="10"/>
        <rFont val="Arial"/>
        <family val="2"/>
      </rPr>
      <t xml:space="preserve">Dry matter losses after cutting are typically around 15% to 20% for hay. This is mainly due to raking and leaf loss etc.  </t>
    </r>
  </si>
  <si>
    <t>*  Dry matter losses after cutting are usually less for silage compared with hay and are typically around 10%.</t>
  </si>
  <si>
    <t>*  However, losses in drought-affected crops for both hay and silage can be significantly higher than the figure quoted above (up to 45%), especially when the total dry matter harvested is less than 2t DM/ha. The lower the volume the higher the losses.</t>
  </si>
  <si>
    <t>*  Suggested feed intake figures are 3% of body weight for cattle or 4% of body weight for sheep.  These can be highly variable and it is recommend that you seek further advice to improve accuracy.</t>
  </si>
  <si>
    <t>Residual herbage mass after grazing</t>
  </si>
  <si>
    <r>
      <t xml:space="preserve">(use the average paddock dry matter </t>
    </r>
    <r>
      <rPr>
        <b/>
        <sz val="14"/>
        <rFont val="Arial"/>
        <family val="2"/>
      </rPr>
      <t>[f]</t>
    </r>
    <r>
      <rPr>
        <sz val="11"/>
        <rFont val="Arial"/>
        <family val="2"/>
      </rPr>
      <t xml:space="preserve"> from </t>
    </r>
    <r>
      <rPr>
        <b/>
        <sz val="11"/>
        <rFont val="Arial"/>
        <family val="2"/>
      </rPr>
      <t>DM recording</t>
    </r>
    <r>
      <rPr>
        <sz val="11"/>
        <rFont val="Arial"/>
        <family val="2"/>
      </rPr>
      <t xml:space="preserve"> sheet)</t>
    </r>
  </si>
  <si>
    <r>
      <rPr>
        <b/>
        <sz val="18"/>
        <color indexed="62"/>
        <rFont val="Arial"/>
        <family val="2"/>
      </rPr>
      <t>Calculating crop forage dry matter</t>
    </r>
    <r>
      <rPr>
        <b/>
        <sz val="14"/>
        <color indexed="62"/>
        <rFont val="Arial"/>
        <family val="2"/>
      </rPr>
      <t xml:space="preserve"> –</t>
    </r>
    <r>
      <rPr>
        <b/>
        <sz val="22"/>
        <color indexed="62"/>
        <rFont val="Arial"/>
        <family val="2"/>
      </rPr>
      <t xml:space="preserve"> </t>
    </r>
    <r>
      <rPr>
        <b/>
        <sz val="14"/>
        <color indexed="62"/>
        <rFont val="Arial"/>
        <family val="2"/>
      </rPr>
      <t xml:space="preserve">recording sheet </t>
    </r>
    <r>
      <rPr>
        <b/>
        <i/>
        <sz val="11"/>
        <color indexed="62"/>
        <rFont val="Arial"/>
        <family val="2"/>
      </rPr>
      <t>(printable version)</t>
    </r>
  </si>
  <si>
    <t>(Extra costs for example could include feed supplements, drenching, vaccinations, livestock transport, costs that are specific to grazing the crop.)</t>
  </si>
  <si>
    <r>
      <t xml:space="preserve">Grain value </t>
    </r>
    <r>
      <rPr>
        <sz val="9"/>
        <rFont val="Arial"/>
        <family val="2"/>
      </rPr>
      <t>(delivered silo)</t>
    </r>
  </si>
  <si>
    <t>Harvest index</t>
  </si>
  <si>
    <r>
      <t xml:space="preserve"> % of dry matter that is converted into grain (suggest 30% to 40% for cereal crops and 10% to 20% for canola)</t>
    </r>
    <r>
      <rPr>
        <b/>
        <sz val="10"/>
        <rFont val="Arial"/>
        <family val="2"/>
      </rPr>
      <t>(see note #)</t>
    </r>
  </si>
  <si>
    <t>MJ/kg</t>
  </si>
  <si>
    <t>Harvest speed</t>
  </si>
  <si>
    <r>
      <rPr>
        <b/>
        <i/>
        <sz val="10"/>
        <rFont val="Arial"/>
        <family val="2"/>
      </rPr>
      <t>#</t>
    </r>
    <r>
      <rPr>
        <b/>
        <sz val="10"/>
        <rFont val="Arial"/>
        <family val="2"/>
      </rPr>
      <t>Harvest index</t>
    </r>
    <r>
      <rPr>
        <sz val="10"/>
        <rFont val="Arial"/>
        <family val="2"/>
      </rPr>
      <t xml:space="preserve"> values are affected by dry conditions and will be at the lower end of the suggested range when crops are under moisture stress. If crops are not drought affected then use the higher value.
Grain yields are determined by harvest index percentages, which use the crop dry matter biomass to predict a grain yield. These values become more reliable as the crop reaches peak biomass. Undertaking this comparison before peak biomass might underestimate potential grain yields. </t>
    </r>
  </si>
  <si>
    <t>Users should be aware that:
1. The default values in the calculator might not be correct for your situation.
2. Incorrect or poor quality information will produce nonsense results and users should seek advice from their local agronomist or livestock adviser if they are unsure of suitable values.
3. The calculated values are estimates only and should be used with caution.
4. It is important that producers check pesticide withholding periods before either cutting crops for hay, silage, or grazing by livestock.
5. Grain yields are determined by harvest index percentages, which use the crop's dry matter biomass to predict a grain yield. These values become more reliable as the crop reaches peak biomass. Undertaking this comparison before peak biomass might underestimate potential grain yields. 
6. If hay or silage is made from a failed crop it is recommended to get a feed quality test done. This will help you to develop your own livestock feeding program and also in selling either the hay or silage. 
Feed samples can be tested through the NSW DPI Feed Quality Service – 1800 675 623.</t>
  </si>
  <si>
    <r>
      <t xml:space="preserve">The </t>
    </r>
    <r>
      <rPr>
        <i/>
        <sz val="11"/>
        <rFont val="Arial"/>
        <family val="2"/>
      </rPr>
      <t>Salvaging crops for fodder, grain or grazing – costs and income calculator</t>
    </r>
    <r>
      <rPr>
        <sz val="11"/>
        <rFont val="Arial"/>
        <family val="2"/>
      </rPr>
      <t xml:space="preserve"> was developed to help producers make decisions about salvaging crops affected by drought and/or frost conditions. The calculator helps growers to compare various management options such as grazing, baling crops for hay or silage and taking crops through to harvest.
Growers input data from their own situation to assess the costs and returns of each option. By knowing the costs and potential value of each product, growers are then able to make an informed decision on the best option for failing crops.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</si>
</sst>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164" formatCode="0.0"/>
    <numFmt numFmtId="165" formatCode="&quot;$&quot;#,##0"/>
    <numFmt numFmtId="166" formatCode="#,##0.0\c"/>
    <numFmt numFmtId="167" formatCode="0.0%"/>
    <numFmt numFmtId="168" formatCode="&quot;$&quot;#,##0.00"/>
    <numFmt numFmtId="169" formatCode="#,##0.0"/>
  </numFmts>
  <fonts count="40" x14ac:knownFonts="1">
    <font>
      <sz val="10"/>
      <name val="Arial"/>
    </font>
    <font>
      <sz val="11"/>
      <color theme="1"/>
      <name val="Calibri"/>
      <family val="2"/>
      <scheme val="minor"/>
    </font>
    <font>
      <sz val="10"/>
      <name val="Arial"/>
      <family val="2"/>
    </font>
    <font>
      <sz val="10"/>
      <name val="Arial"/>
      <family val="2"/>
    </font>
    <font>
      <b/>
      <sz val="10"/>
      <name val="Arial"/>
      <family val="2"/>
    </font>
    <font>
      <sz val="8"/>
      <name val="Arial"/>
      <family val="2"/>
    </font>
    <font>
      <sz val="10"/>
      <name val="Arial"/>
      <family val="2"/>
    </font>
    <font>
      <b/>
      <sz val="10"/>
      <name val="Arial"/>
      <family val="2"/>
    </font>
    <font>
      <sz val="10"/>
      <name val="Arial"/>
      <family val="2"/>
    </font>
    <font>
      <b/>
      <sz val="8"/>
      <color indexed="10"/>
      <name val="Arial"/>
      <family val="2"/>
    </font>
    <font>
      <sz val="9"/>
      <name val="Arial"/>
      <family val="2"/>
    </font>
    <font>
      <b/>
      <sz val="9"/>
      <name val="Arial"/>
      <family val="2"/>
    </font>
    <font>
      <b/>
      <sz val="12"/>
      <name val="Arial"/>
      <family val="2"/>
    </font>
    <font>
      <sz val="12"/>
      <name val="Arial"/>
      <family val="2"/>
    </font>
    <font>
      <b/>
      <sz val="10"/>
      <color indexed="10"/>
      <name val="Arial"/>
      <family val="2"/>
    </font>
    <font>
      <b/>
      <sz val="22"/>
      <color indexed="62"/>
      <name val="Arial"/>
      <family val="2"/>
    </font>
    <font>
      <sz val="11"/>
      <name val="Arial"/>
      <family val="2"/>
    </font>
    <font>
      <b/>
      <sz val="11"/>
      <name val="Arial"/>
      <family val="2"/>
    </font>
    <font>
      <b/>
      <sz val="24"/>
      <color indexed="62"/>
      <name val="Arial"/>
      <family val="2"/>
    </font>
    <font>
      <sz val="14"/>
      <name val="Arial"/>
      <family val="2"/>
    </font>
    <font>
      <b/>
      <sz val="14"/>
      <name val="Arial"/>
      <family val="2"/>
    </font>
    <font>
      <b/>
      <sz val="14"/>
      <color indexed="62"/>
      <name val="Arial"/>
      <family val="2"/>
    </font>
    <font>
      <b/>
      <i/>
      <sz val="10"/>
      <name val="Arial"/>
      <family val="2"/>
    </font>
    <font>
      <b/>
      <sz val="18"/>
      <color indexed="62"/>
      <name val="Arial"/>
      <family val="2"/>
    </font>
    <font>
      <i/>
      <sz val="10"/>
      <name val="Arial"/>
      <family val="2"/>
    </font>
    <font>
      <b/>
      <sz val="10"/>
      <color indexed="30"/>
      <name val="Arial"/>
      <family val="2"/>
    </font>
    <font>
      <b/>
      <i/>
      <sz val="11"/>
      <color indexed="62"/>
      <name val="Arial"/>
      <family val="2"/>
    </font>
    <font>
      <b/>
      <sz val="14"/>
      <color indexed="40"/>
      <name val="Arial"/>
      <family val="2"/>
    </font>
    <font>
      <i/>
      <sz val="9"/>
      <name val="Arial"/>
      <family val="2"/>
    </font>
    <font>
      <b/>
      <i/>
      <sz val="9"/>
      <name val="Arial"/>
      <family val="2"/>
    </font>
    <font>
      <sz val="14"/>
      <color rgb="FFFF0000"/>
      <name val="Arial"/>
      <family val="2"/>
    </font>
    <font>
      <sz val="12"/>
      <color rgb="FF333399"/>
      <name val="Arial"/>
      <family val="2"/>
    </font>
    <font>
      <sz val="9"/>
      <color indexed="81"/>
      <name val="Tahoma"/>
      <family val="2"/>
    </font>
    <font>
      <b/>
      <sz val="9"/>
      <color indexed="81"/>
      <name val="Tahoma"/>
      <family val="2"/>
    </font>
    <font>
      <u/>
      <sz val="10"/>
      <color theme="10"/>
      <name val="Arial"/>
      <family val="2"/>
    </font>
    <font>
      <u/>
      <sz val="12"/>
      <color theme="10"/>
      <name val="Arial"/>
      <family val="2"/>
    </font>
    <font>
      <u/>
      <sz val="11"/>
      <color theme="10"/>
      <name val="Arial"/>
      <family val="2"/>
    </font>
    <font>
      <vertAlign val="superscript"/>
      <sz val="10"/>
      <name val="Arial"/>
      <family val="2"/>
    </font>
    <font>
      <b/>
      <sz val="8"/>
      <color rgb="FFFF0000"/>
      <name val="Arial"/>
      <family val="2"/>
    </font>
    <font>
      <i/>
      <sz val="11"/>
      <name val="Arial"/>
      <family val="2"/>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E5F4F7"/>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34" fillId="0" borderId="0" applyNumberFormat="0" applyFill="0" applyBorder="0" applyAlignment="0" applyProtection="0"/>
    <xf numFmtId="0" fontId="1" fillId="0" borderId="0"/>
  </cellStyleXfs>
  <cellXfs count="349">
    <xf numFmtId="0" fontId="0" fillId="0" borderId="0" xfId="0"/>
    <xf numFmtId="0" fontId="8" fillId="2" borderId="0" xfId="0" applyFont="1" applyFill="1" applyAlignment="1" applyProtection="1">
      <alignment horizontal="center"/>
      <protection locked="0"/>
    </xf>
    <xf numFmtId="0" fontId="8" fillId="0" borderId="0" xfId="0" applyFont="1"/>
    <xf numFmtId="0" fontId="8" fillId="0" borderId="0" xfId="0" applyFont="1" applyAlignment="1">
      <alignment horizontal="left"/>
    </xf>
    <xf numFmtId="0" fontId="8" fillId="0" borderId="0" xfId="0" applyFont="1" applyAlignment="1">
      <alignment horizontal="center"/>
    </xf>
    <xf numFmtId="0" fontId="7" fillId="0" borderId="0" xfId="0" applyFont="1" applyAlignment="1">
      <alignment horizontal="center"/>
    </xf>
    <xf numFmtId="0" fontId="7" fillId="0" borderId="0" xfId="0" applyFont="1"/>
    <xf numFmtId="0" fontId="8" fillId="0" borderId="1" xfId="0" applyFont="1" applyBorder="1"/>
    <xf numFmtId="0" fontId="7" fillId="0" borderId="1" xfId="0" applyFont="1" applyBorder="1"/>
    <xf numFmtId="0" fontId="8" fillId="0" borderId="4" xfId="0" applyFont="1" applyBorder="1"/>
    <xf numFmtId="0" fontId="8" fillId="0" borderId="5" xfId="0" applyFont="1" applyBorder="1"/>
    <xf numFmtId="0" fontId="8" fillId="0" borderId="6" xfId="0" applyFont="1" applyBorder="1"/>
    <xf numFmtId="0" fontId="7" fillId="0" borderId="4" xfId="0" applyFont="1" applyBorder="1"/>
    <xf numFmtId="0" fontId="7" fillId="0" borderId="5" xfId="0" applyFont="1" applyBorder="1"/>
    <xf numFmtId="0" fontId="7" fillId="0" borderId="7" xfId="0" applyFont="1" applyBorder="1"/>
    <xf numFmtId="0" fontId="8" fillId="0" borderId="8" xfId="0" applyFont="1" applyBorder="1"/>
    <xf numFmtId="0" fontId="8" fillId="0" borderId="9" xfId="0" applyFont="1" applyBorder="1"/>
    <xf numFmtId="0" fontId="4" fillId="0" borderId="7" xfId="0" applyFont="1" applyBorder="1"/>
    <xf numFmtId="0" fontId="7" fillId="0" borderId="10" xfId="0" applyFont="1" applyBorder="1"/>
    <xf numFmtId="0" fontId="8" fillId="0" borderId="11" xfId="0" applyFont="1" applyBorder="1"/>
    <xf numFmtId="1" fontId="8" fillId="0" borderId="0" xfId="0" applyNumberFormat="1" applyFont="1" applyAlignment="1">
      <alignment horizontal="center"/>
    </xf>
    <xf numFmtId="164" fontId="8" fillId="0" borderId="0" xfId="0" applyNumberFormat="1" applyFont="1" applyAlignment="1">
      <alignment horizontal="center"/>
    </xf>
    <xf numFmtId="0" fontId="7" fillId="0" borderId="10" xfId="0" applyFont="1" applyBorder="1" applyAlignment="1">
      <alignment horizontal="right"/>
    </xf>
    <xf numFmtId="0" fontId="7" fillId="0" borderId="4" xfId="0" applyFont="1" applyBorder="1" applyAlignment="1">
      <alignment horizontal="right"/>
    </xf>
    <xf numFmtId="0" fontId="8" fillId="0" borderId="5" xfId="0" applyFont="1" applyBorder="1" applyAlignment="1">
      <alignment horizontal="center"/>
    </xf>
    <xf numFmtId="0" fontId="8" fillId="0" borderId="10" xfId="0" applyFont="1" applyBorder="1"/>
    <xf numFmtId="0" fontId="8" fillId="0" borderId="10" xfId="0" applyFont="1" applyBorder="1" applyAlignment="1">
      <alignment horizontal="center"/>
    </xf>
    <xf numFmtId="0" fontId="8" fillId="0" borderId="11" xfId="0" quotePrefix="1" applyFont="1" applyBorder="1"/>
    <xf numFmtId="0" fontId="3" fillId="0" borderId="0" xfId="0" applyFont="1"/>
    <xf numFmtId="0" fontId="4" fillId="0" borderId="10" xfId="0" applyFont="1" applyBorder="1" applyAlignment="1">
      <alignment horizontal="left"/>
    </xf>
    <xf numFmtId="0" fontId="4" fillId="0" borderId="0" xfId="0" applyFont="1" applyAlignment="1">
      <alignment horizontal="left"/>
    </xf>
    <xf numFmtId="167" fontId="8"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Alignment="1">
      <alignment horizontal="center" vertical="center" wrapText="1"/>
    </xf>
    <xf numFmtId="2" fontId="8" fillId="0" borderId="0" xfId="0" applyNumberFormat="1" applyFont="1" applyAlignment="1">
      <alignment horizontal="center"/>
    </xf>
    <xf numFmtId="0" fontId="8" fillId="0" borderId="7" xfId="0" applyFont="1" applyBorder="1"/>
    <xf numFmtId="0" fontId="7" fillId="0" borderId="8" xfId="0" applyFont="1" applyBorder="1"/>
    <xf numFmtId="0" fontId="8" fillId="0" borderId="9" xfId="0" quotePrefix="1" applyFont="1" applyBorder="1"/>
    <xf numFmtId="0" fontId="4" fillId="0" borderId="8" xfId="0" applyFont="1" applyBorder="1" applyAlignment="1">
      <alignment horizontal="left"/>
    </xf>
    <xf numFmtId="7" fontId="3" fillId="0" borderId="8" xfId="0" applyNumberFormat="1" applyFont="1" applyBorder="1" applyAlignment="1">
      <alignment horizontal="center"/>
    </xf>
    <xf numFmtId="7" fontId="4" fillId="0" borderId="0" xfId="0" applyNumberFormat="1" applyFont="1" applyAlignment="1">
      <alignment horizontal="center"/>
    </xf>
    <xf numFmtId="0" fontId="4" fillId="0" borderId="0" xfId="0" applyFont="1"/>
    <xf numFmtId="0" fontId="4" fillId="0" borderId="5" xfId="0" applyFont="1" applyBorder="1"/>
    <xf numFmtId="168" fontId="8" fillId="0" borderId="0" xfId="0" applyNumberFormat="1" applyFont="1" applyAlignment="1">
      <alignment horizontal="center"/>
    </xf>
    <xf numFmtId="0" fontId="5" fillId="0" borderId="10" xfId="0" applyFont="1" applyBorder="1"/>
    <xf numFmtId="9" fontId="8" fillId="0" borderId="0" xfId="0" applyNumberFormat="1" applyFont="1" applyAlignment="1">
      <alignment horizontal="center"/>
    </xf>
    <xf numFmtId="0" fontId="4" fillId="0" borderId="10" xfId="0" applyFont="1" applyBorder="1"/>
    <xf numFmtId="0" fontId="7" fillId="0" borderId="12" xfId="0" applyFont="1" applyBorder="1"/>
    <xf numFmtId="0" fontId="8" fillId="0" borderId="14" xfId="0" applyFont="1" applyBorder="1"/>
    <xf numFmtId="0" fontId="7" fillId="0" borderId="13" xfId="0" applyFont="1" applyBorder="1"/>
    <xf numFmtId="0" fontId="10" fillId="0" borderId="10" xfId="0" applyFont="1" applyBorder="1"/>
    <xf numFmtId="2" fontId="12" fillId="0" borderId="0" xfId="0" applyNumberFormat="1" applyFont="1" applyAlignment="1">
      <alignment horizontal="left"/>
    </xf>
    <xf numFmtId="0" fontId="13"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7" fillId="0" borderId="2" xfId="0" applyFont="1" applyBorder="1"/>
    <xf numFmtId="0" fontId="4" fillId="0" borderId="8" xfId="0" applyFont="1" applyBorder="1"/>
    <xf numFmtId="0" fontId="7" fillId="0" borderId="0" xfId="0" applyFont="1" applyAlignment="1">
      <alignment horizontal="right"/>
    </xf>
    <xf numFmtId="0" fontId="7" fillId="0" borderId="5" xfId="0" applyFont="1" applyBorder="1" applyAlignment="1">
      <alignment horizontal="right"/>
    </xf>
    <xf numFmtId="0" fontId="10" fillId="0" borderId="0" xfId="0" applyFont="1"/>
    <xf numFmtId="0" fontId="5" fillId="0" borderId="0" xfId="0" applyFont="1"/>
    <xf numFmtId="0" fontId="8" fillId="0" borderId="14" xfId="0" quotePrefix="1" applyFont="1" applyBorder="1"/>
    <xf numFmtId="0" fontId="8" fillId="0" borderId="0" xfId="0" quotePrefix="1" applyFont="1"/>
    <xf numFmtId="0" fontId="4" fillId="0" borderId="11" xfId="0" quotePrefix="1" applyFont="1" applyBorder="1"/>
    <xf numFmtId="0" fontId="8" fillId="0" borderId="8" xfId="0" quotePrefix="1" applyFont="1" applyBorder="1"/>
    <xf numFmtId="0" fontId="4" fillId="0" borderId="0" xfId="0" quotePrefix="1" applyFont="1"/>
    <xf numFmtId="0" fontId="0" fillId="0" borderId="0" xfId="0" applyAlignment="1">
      <alignment wrapText="1"/>
    </xf>
    <xf numFmtId="0" fontId="4" fillId="0" borderId="3" xfId="0" applyFont="1" applyBorder="1" applyAlignment="1">
      <alignment vertical="center" wrapText="1"/>
    </xf>
    <xf numFmtId="164" fontId="4" fillId="0" borderId="0" xfId="0" applyNumberFormat="1" applyFont="1" applyAlignment="1">
      <alignment horizontal="center"/>
    </xf>
    <xf numFmtId="0" fontId="0" fillId="0" borderId="0" xfId="0" applyAlignment="1">
      <alignment horizontal="center"/>
    </xf>
    <xf numFmtId="165" fontId="0" fillId="0" borderId="0" xfId="0" applyNumberFormat="1" applyAlignment="1">
      <alignment horizontal="center"/>
    </xf>
    <xf numFmtId="166" fontId="4" fillId="0" borderId="0" xfId="0" applyNumberFormat="1" applyFont="1" applyAlignment="1">
      <alignment horizontal="center"/>
    </xf>
    <xf numFmtId="0" fontId="3" fillId="0" borderId="11" xfId="0" quotePrefix="1" applyFont="1" applyBorder="1"/>
    <xf numFmtId="0" fontId="8" fillId="0" borderId="6" xfId="0" quotePrefix="1" applyFont="1" applyBorder="1"/>
    <xf numFmtId="0" fontId="3" fillId="0" borderId="0" xfId="0" quotePrefix="1" applyFont="1"/>
    <xf numFmtId="0" fontId="8" fillId="0" borderId="2" xfId="0" applyFont="1" applyBorder="1"/>
    <xf numFmtId="0" fontId="4" fillId="0" borderId="4" xfId="0" applyFont="1" applyBorder="1"/>
    <xf numFmtId="0" fontId="3" fillId="0" borderId="11" xfId="0" applyFont="1" applyBorder="1"/>
    <xf numFmtId="164" fontId="8" fillId="0" borderId="0" xfId="0" applyNumberFormat="1" applyFont="1"/>
    <xf numFmtId="0" fontId="4" fillId="0" borderId="12" xfId="0" applyFont="1" applyBorder="1"/>
    <xf numFmtId="0" fontId="3" fillId="0" borderId="14" xfId="0" quotePrefix="1" applyFont="1" applyBorder="1"/>
    <xf numFmtId="166" fontId="4" fillId="0" borderId="2" xfId="0" applyNumberFormat="1" applyFont="1" applyBorder="1" applyAlignment="1">
      <alignment horizontal="center"/>
    </xf>
    <xf numFmtId="0" fontId="1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16" fillId="0" borderId="0" xfId="0" applyFont="1" applyAlignment="1">
      <alignment vertical="center"/>
    </xf>
    <xf numFmtId="0" fontId="6" fillId="0" borderId="0" xfId="0" applyFont="1" applyAlignment="1">
      <alignment vertical="center"/>
    </xf>
    <xf numFmtId="0" fontId="0" fillId="0" borderId="0" xfId="0" applyAlignment="1">
      <alignment horizontal="left" vertical="top" wrapText="1"/>
    </xf>
    <xf numFmtId="0" fontId="3" fillId="0" borderId="0" xfId="0" applyFont="1" applyAlignment="1">
      <alignment horizontal="left" wrapText="1"/>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30" fillId="0" borderId="0" xfId="0" applyFont="1" applyAlignment="1">
      <alignment vertical="center"/>
    </xf>
    <xf numFmtId="0" fontId="17" fillId="0" borderId="0" xfId="0" applyFont="1" applyAlignment="1">
      <alignment horizontal="right"/>
    </xf>
    <xf numFmtId="0" fontId="17" fillId="0" borderId="0" xfId="0" applyFont="1"/>
    <xf numFmtId="0" fontId="8" fillId="0" borderId="0" xfId="0" applyFont="1" applyAlignment="1" applyProtection="1">
      <alignment horizontal="center"/>
      <protection locked="0"/>
    </xf>
    <xf numFmtId="0" fontId="3" fillId="0" borderId="0" xfId="0" applyFont="1" applyAlignment="1">
      <alignment vertical="center"/>
    </xf>
    <xf numFmtId="17" fontId="16" fillId="0" borderId="0" xfId="0" applyNumberFormat="1" applyFont="1"/>
    <xf numFmtId="0" fontId="8" fillId="0" borderId="7" xfId="0" applyFont="1" applyBorder="1" applyAlignment="1">
      <alignment horizontal="center"/>
    </xf>
    <xf numFmtId="0" fontId="8" fillId="0" borderId="8" xfId="0" applyFont="1" applyBorder="1" applyAlignment="1">
      <alignment horizontal="center"/>
    </xf>
    <xf numFmtId="164" fontId="16" fillId="2" borderId="8" xfId="0" applyNumberFormat="1" applyFont="1" applyFill="1" applyBorder="1" applyAlignment="1" applyProtection="1">
      <alignment horizontal="center"/>
      <protection locked="0"/>
    </xf>
    <xf numFmtId="0" fontId="16" fillId="0" borderId="8" xfId="0" applyFont="1" applyBorder="1"/>
    <xf numFmtId="164" fontId="16" fillId="0" borderId="8" xfId="0" applyNumberFormat="1" applyFont="1" applyBorder="1" applyAlignment="1">
      <alignment horizontal="center"/>
    </xf>
    <xf numFmtId="9" fontId="16" fillId="2" borderId="0" xfId="0" applyNumberFormat="1" applyFont="1" applyFill="1" applyAlignment="1" applyProtection="1">
      <alignment horizontal="center"/>
      <protection locked="0"/>
    </xf>
    <xf numFmtId="0" fontId="16" fillId="0" borderId="0" xfId="0" applyFont="1"/>
    <xf numFmtId="164" fontId="17" fillId="0" borderId="0" xfId="0" applyNumberFormat="1" applyFont="1" applyAlignment="1">
      <alignment horizontal="center"/>
    </xf>
    <xf numFmtId="0" fontId="16" fillId="2" borderId="0" xfId="0" applyFont="1" applyFill="1" applyAlignment="1" applyProtection="1">
      <alignment horizontal="center"/>
      <protection locked="0"/>
    </xf>
    <xf numFmtId="164" fontId="16" fillId="0" borderId="0" xfId="0" applyNumberFormat="1" applyFont="1" applyAlignment="1">
      <alignment horizontal="center"/>
    </xf>
    <xf numFmtId="165" fontId="16" fillId="2" borderId="0" xfId="0" applyNumberFormat="1" applyFont="1" applyFill="1" applyAlignment="1" applyProtection="1">
      <alignment horizontal="center"/>
      <protection locked="0"/>
    </xf>
    <xf numFmtId="165" fontId="16" fillId="0" borderId="0" xfId="0" applyNumberFormat="1" applyFont="1" applyAlignment="1">
      <alignment horizontal="center"/>
    </xf>
    <xf numFmtId="165" fontId="17" fillId="0" borderId="8" xfId="0" applyNumberFormat="1" applyFont="1" applyBorder="1" applyAlignment="1">
      <alignment horizontal="center"/>
    </xf>
    <xf numFmtId="165" fontId="17" fillId="0" borderId="0" xfId="0" applyNumberFormat="1" applyFont="1" applyAlignment="1">
      <alignment horizontal="center"/>
    </xf>
    <xf numFmtId="165" fontId="17" fillId="0" borderId="5" xfId="0" applyNumberFormat="1" applyFont="1" applyBorder="1" applyAlignment="1">
      <alignment horizontal="center"/>
    </xf>
    <xf numFmtId="0" fontId="17" fillId="0" borderId="5" xfId="0" applyFont="1" applyBorder="1"/>
    <xf numFmtId="0" fontId="16" fillId="0" borderId="0" xfId="0" applyFont="1" applyAlignment="1">
      <alignment horizontal="center"/>
    </xf>
    <xf numFmtId="0" fontId="16" fillId="0" borderId="13" xfId="0" applyFont="1" applyBorder="1"/>
    <xf numFmtId="164" fontId="16" fillId="2" borderId="2" xfId="0" applyNumberFormat="1" applyFont="1" applyFill="1" applyBorder="1" applyAlignment="1" applyProtection="1">
      <alignment horizontal="center"/>
      <protection locked="0"/>
    </xf>
    <xf numFmtId="0" fontId="16" fillId="0" borderId="2" xfId="0" applyFont="1" applyBorder="1"/>
    <xf numFmtId="0" fontId="16" fillId="2" borderId="2" xfId="0" applyFont="1" applyFill="1" applyBorder="1" applyAlignment="1" applyProtection="1">
      <alignment horizontal="center"/>
      <protection locked="0"/>
    </xf>
    <xf numFmtId="3" fontId="17" fillId="0" borderId="0" xfId="0" applyNumberFormat="1" applyFont="1" applyAlignment="1">
      <alignment horizontal="center"/>
    </xf>
    <xf numFmtId="166" fontId="17" fillId="0" borderId="13" xfId="0" applyNumberFormat="1" applyFont="1" applyBorder="1" applyAlignment="1">
      <alignment horizontal="center"/>
    </xf>
    <xf numFmtId="0" fontId="17" fillId="0" borderId="13" xfId="0" applyFont="1" applyBorder="1"/>
    <xf numFmtId="9" fontId="16" fillId="2" borderId="8" xfId="0" applyNumberFormat="1" applyFont="1" applyFill="1" applyBorder="1" applyAlignment="1" applyProtection="1">
      <alignment horizontal="center"/>
      <protection locked="0"/>
    </xf>
    <xf numFmtId="9" fontId="16" fillId="0" borderId="8" xfId="0" applyNumberFormat="1" applyFont="1" applyBorder="1" applyAlignment="1">
      <alignment horizontal="center"/>
    </xf>
    <xf numFmtId="164" fontId="16" fillId="0" borderId="5" xfId="0" applyNumberFormat="1" applyFont="1" applyBorder="1" applyAlignment="1">
      <alignment horizontal="center"/>
    </xf>
    <xf numFmtId="164" fontId="16" fillId="2" borderId="0" xfId="0" applyNumberFormat="1" applyFont="1" applyFill="1" applyAlignment="1" applyProtection="1">
      <alignment horizontal="center"/>
      <protection locked="0"/>
    </xf>
    <xf numFmtId="9" fontId="16" fillId="0" borderId="0" xfId="0" applyNumberFormat="1" applyFont="1" applyAlignment="1">
      <alignment horizontal="center"/>
    </xf>
    <xf numFmtId="0" fontId="16" fillId="0" borderId="2" xfId="0" applyFont="1" applyBorder="1" applyAlignment="1">
      <alignment horizontal="center"/>
    </xf>
    <xf numFmtId="1" fontId="16" fillId="0" borderId="0" xfId="0" applyNumberFormat="1" applyFont="1" applyAlignment="1">
      <alignment horizontal="center"/>
    </xf>
    <xf numFmtId="1" fontId="16" fillId="2" borderId="0" xfId="0" applyNumberFormat="1" applyFont="1" applyFill="1" applyAlignment="1" applyProtection="1">
      <alignment horizontal="center"/>
      <protection locked="0"/>
    </xf>
    <xf numFmtId="1" fontId="16" fillId="0" borderId="0" xfId="0" applyNumberFormat="1" applyFont="1" applyAlignment="1" applyProtection="1">
      <alignment horizontal="center"/>
      <protection locked="0"/>
    </xf>
    <xf numFmtId="0" fontId="16" fillId="0" borderId="0" xfId="0" applyFont="1" applyAlignment="1" applyProtection="1">
      <alignment horizontal="center"/>
      <protection locked="0"/>
    </xf>
    <xf numFmtId="167" fontId="16" fillId="2" borderId="0" xfId="0" applyNumberFormat="1" applyFont="1" applyFill="1" applyAlignment="1" applyProtection="1">
      <alignment horizontal="center"/>
      <protection locked="0"/>
    </xf>
    <xf numFmtId="167" fontId="16" fillId="0" borderId="0" xfId="0" applyNumberFormat="1" applyFont="1" applyAlignment="1" applyProtection="1">
      <alignment horizontal="center"/>
      <protection locked="0"/>
    </xf>
    <xf numFmtId="9" fontId="16" fillId="0" borderId="0" xfId="0" applyNumberFormat="1" applyFont="1" applyAlignment="1" applyProtection="1">
      <alignment horizontal="center"/>
      <protection locked="0"/>
    </xf>
    <xf numFmtId="164" fontId="16" fillId="0" borderId="0" xfId="0" applyNumberFormat="1" applyFont="1" applyAlignment="1" applyProtection="1">
      <alignment horizontal="center"/>
      <protection locked="0"/>
    </xf>
    <xf numFmtId="7" fontId="16" fillId="2" borderId="8" xfId="0" applyNumberFormat="1" applyFont="1" applyFill="1" applyBorder="1" applyAlignment="1" applyProtection="1">
      <alignment horizontal="center"/>
      <protection locked="0"/>
    </xf>
    <xf numFmtId="7" fontId="16" fillId="0" borderId="8" xfId="0" applyNumberFormat="1" applyFont="1" applyBorder="1" applyAlignment="1" applyProtection="1">
      <alignment horizontal="center"/>
      <protection locked="0"/>
    </xf>
    <xf numFmtId="7" fontId="17" fillId="0" borderId="0" xfId="0" applyNumberFormat="1" applyFont="1" applyAlignment="1">
      <alignment horizontal="center"/>
    </xf>
    <xf numFmtId="168" fontId="16" fillId="2" borderId="0" xfId="0" applyNumberFormat="1" applyFont="1" applyFill="1" applyAlignment="1" applyProtection="1">
      <alignment horizontal="center"/>
      <protection locked="0"/>
    </xf>
    <xf numFmtId="168" fontId="16" fillId="0" borderId="0" xfId="0" applyNumberFormat="1" applyFont="1" applyAlignment="1" applyProtection="1">
      <alignment horizontal="center"/>
      <protection locked="0"/>
    </xf>
    <xf numFmtId="168" fontId="16" fillId="0" borderId="0" xfId="0" applyNumberFormat="1" applyFont="1" applyAlignment="1">
      <alignment horizontal="center"/>
    </xf>
    <xf numFmtId="0" fontId="3" fillId="0" borderId="0" xfId="0" applyFont="1" applyAlignment="1">
      <alignment horizontal="left" vertical="top" wrapText="1"/>
    </xf>
    <xf numFmtId="1" fontId="16" fillId="0" borderId="0" xfId="0" applyNumberFormat="1" applyFont="1" applyAlignment="1">
      <alignment horizontal="center" vertical="center" wrapText="1"/>
    </xf>
    <xf numFmtId="0" fontId="4" fillId="3" borderId="1" xfId="0" applyFont="1" applyFill="1" applyBorder="1" applyAlignment="1">
      <alignment vertical="top"/>
    </xf>
    <xf numFmtId="0" fontId="0" fillId="3" borderId="2" xfId="0" applyFill="1" applyBorder="1" applyAlignment="1">
      <alignment vertical="top"/>
    </xf>
    <xf numFmtId="0" fontId="0" fillId="3" borderId="10" xfId="0" applyFill="1" applyBorder="1" applyAlignment="1">
      <alignment vertical="top"/>
    </xf>
    <xf numFmtId="0" fontId="0" fillId="3" borderId="0" xfId="0" applyFill="1" applyAlignment="1">
      <alignment vertical="top"/>
    </xf>
    <xf numFmtId="0" fontId="3" fillId="3" borderId="10" xfId="0" applyFont="1" applyFill="1" applyBorder="1" applyAlignment="1">
      <alignment vertical="center"/>
    </xf>
    <xf numFmtId="0" fontId="3" fillId="3" borderId="0" xfId="0" applyFont="1" applyFill="1" applyAlignment="1">
      <alignment vertical="center"/>
    </xf>
    <xf numFmtId="0" fontId="15" fillId="3" borderId="0" xfId="0" applyFont="1" applyFill="1" applyAlignment="1">
      <alignment vertical="center"/>
    </xf>
    <xf numFmtId="0" fontId="0" fillId="3" borderId="0" xfId="0" applyFill="1"/>
    <xf numFmtId="0" fontId="4" fillId="3" borderId="1" xfId="0" applyFont="1" applyFill="1" applyBorder="1"/>
    <xf numFmtId="0" fontId="3" fillId="3" borderId="2" xfId="0" applyFont="1" applyFill="1" applyBorder="1"/>
    <xf numFmtId="0" fontId="0" fillId="3" borderId="12" xfId="0" applyFill="1" applyBorder="1"/>
    <xf numFmtId="0" fontId="0" fillId="3" borderId="13" xfId="0" applyFill="1" applyBorder="1"/>
    <xf numFmtId="0" fontId="17" fillId="3" borderId="2" xfId="0" applyFont="1" applyFill="1" applyBorder="1"/>
    <xf numFmtId="0" fontId="3" fillId="3" borderId="10" xfId="0" applyFont="1" applyFill="1" applyBorder="1" applyAlignment="1">
      <alignment horizontal="left"/>
    </xf>
    <xf numFmtId="0" fontId="0" fillId="3" borderId="0" xfId="0" applyFill="1" applyAlignment="1">
      <alignment horizontal="left"/>
    </xf>
    <xf numFmtId="0" fontId="4" fillId="3" borderId="1" xfId="0" applyFont="1" applyFill="1" applyBorder="1" applyAlignment="1">
      <alignment horizontal="left"/>
    </xf>
    <xf numFmtId="0" fontId="17" fillId="3" borderId="2" xfId="0" applyFont="1" applyFill="1" applyBorder="1" applyAlignment="1">
      <alignment horizontal="left"/>
    </xf>
    <xf numFmtId="0" fontId="24" fillId="3" borderId="10" xfId="0" applyFont="1" applyFill="1" applyBorder="1" applyAlignment="1">
      <alignment horizontal="left"/>
    </xf>
    <xf numFmtId="0" fontId="24" fillId="3" borderId="0" xfId="0" applyFont="1" applyFill="1" applyAlignment="1">
      <alignment horizontal="left"/>
    </xf>
    <xf numFmtId="0" fontId="0" fillId="3" borderId="10" xfId="0" applyFill="1" applyBorder="1" applyAlignment="1">
      <alignment horizontal="left"/>
    </xf>
    <xf numFmtId="0" fontId="0" fillId="3" borderId="10" xfId="0" applyFill="1" applyBorder="1"/>
    <xf numFmtId="0" fontId="17" fillId="3" borderId="3" xfId="0" applyFont="1" applyFill="1" applyBorder="1"/>
    <xf numFmtId="0" fontId="3" fillId="3" borderId="10" xfId="0" applyFont="1" applyFill="1" applyBorder="1"/>
    <xf numFmtId="0" fontId="17" fillId="3" borderId="11" xfId="0" applyFont="1" applyFill="1" applyBorder="1"/>
    <xf numFmtId="0" fontId="3" fillId="3" borderId="14" xfId="0" applyFont="1" applyFill="1" applyBorder="1"/>
    <xf numFmtId="0" fontId="0" fillId="3" borderId="3" xfId="0" applyFill="1" applyBorder="1"/>
    <xf numFmtId="0" fontId="0" fillId="3" borderId="11" xfId="0" applyFill="1" applyBorder="1"/>
    <xf numFmtId="0" fontId="3" fillId="3" borderId="12" xfId="0" applyFont="1" applyFill="1" applyBorder="1" applyAlignment="1">
      <alignment vertical="center"/>
    </xf>
    <xf numFmtId="0" fontId="0" fillId="3" borderId="14" xfId="0" applyFill="1" applyBorder="1"/>
    <xf numFmtId="0" fontId="3" fillId="3" borderId="11" xfId="0" applyFont="1" applyFill="1" applyBorder="1"/>
    <xf numFmtId="0" fontId="2" fillId="3" borderId="10" xfId="0" applyFont="1" applyFill="1" applyBorder="1" applyAlignment="1">
      <alignment horizontal="center"/>
    </xf>
    <xf numFmtId="0" fontId="3" fillId="3" borderId="12" xfId="0" applyFont="1" applyFill="1" applyBorder="1" applyAlignment="1">
      <alignment vertical="center" wrapText="1"/>
    </xf>
    <xf numFmtId="0" fontId="17" fillId="3" borderId="1" xfId="0" applyFont="1" applyFill="1" applyBorder="1"/>
    <xf numFmtId="0" fontId="17" fillId="3" borderId="2" xfId="0" applyFont="1" applyFill="1" applyBorder="1" applyAlignment="1">
      <alignment vertical="center" wrapText="1"/>
    </xf>
    <xf numFmtId="0" fontId="4" fillId="3" borderId="12" xfId="0" applyFont="1" applyFill="1" applyBorder="1"/>
    <xf numFmtId="0" fontId="17" fillId="3" borderId="13" xfId="0" applyFont="1" applyFill="1" applyBorder="1" applyAlignment="1">
      <alignment vertical="center" wrapText="1"/>
    </xf>
    <xf numFmtId="0" fontId="28" fillId="3" borderId="3" xfId="0" applyFont="1" applyFill="1" applyBorder="1" applyAlignment="1">
      <alignment horizontal="center" vertical="center"/>
    </xf>
    <xf numFmtId="0" fontId="28" fillId="3" borderId="11" xfId="0" applyFont="1" applyFill="1" applyBorder="1" applyAlignment="1">
      <alignment horizontal="center" vertical="center"/>
    </xf>
    <xf numFmtId="0" fontId="29" fillId="3" borderId="14" xfId="0" applyFont="1" applyFill="1" applyBorder="1" applyAlignment="1">
      <alignment horizontal="center" vertical="center"/>
    </xf>
    <xf numFmtId="0" fontId="0" fillId="3" borderId="13" xfId="0" applyFill="1" applyBorder="1" applyAlignment="1">
      <alignment horizontal="center" vertical="center"/>
    </xf>
    <xf numFmtId="0" fontId="3" fillId="3" borderId="11" xfId="0" applyFont="1" applyFill="1" applyBorder="1" applyAlignment="1">
      <alignment horizontal="center"/>
    </xf>
    <xf numFmtId="0" fontId="3" fillId="3" borderId="19" xfId="0" applyFont="1" applyFill="1" applyBorder="1" applyAlignment="1">
      <alignment horizontal="center"/>
    </xf>
    <xf numFmtId="2" fontId="17" fillId="0" borderId="0" xfId="0" applyNumberFormat="1" applyFont="1" applyAlignment="1">
      <alignment horizontal="left"/>
    </xf>
    <xf numFmtId="2" fontId="16" fillId="0" borderId="0" xfId="0" applyNumberFormat="1" applyFont="1" applyAlignment="1">
      <alignment horizontal="left"/>
    </xf>
    <xf numFmtId="164" fontId="12" fillId="0" borderId="0" xfId="0" applyNumberFormat="1" applyFont="1" applyAlignment="1">
      <alignment horizontal="center" vertical="center"/>
    </xf>
    <xf numFmtId="164" fontId="12" fillId="2" borderId="15" xfId="0" applyNumberFormat="1" applyFont="1" applyFill="1" applyBorder="1" applyAlignment="1" applyProtection="1">
      <alignment horizontal="center" vertical="center"/>
      <protection locked="0"/>
    </xf>
    <xf numFmtId="9" fontId="12" fillId="2" borderId="15" xfId="0" applyNumberFormat="1" applyFont="1" applyFill="1" applyBorder="1" applyAlignment="1" applyProtection="1">
      <alignment horizontal="center" vertical="center"/>
      <protection locked="0"/>
    </xf>
    <xf numFmtId="0" fontId="16" fillId="0" borderId="0" xfId="0" applyFont="1" applyAlignment="1">
      <alignment horizontal="left"/>
    </xf>
    <xf numFmtId="9" fontId="17" fillId="0" borderId="0" xfId="0" applyNumberFormat="1" applyFont="1" applyAlignment="1">
      <alignment horizontal="center"/>
    </xf>
    <xf numFmtId="0" fontId="2" fillId="3" borderId="12" xfId="0" applyFont="1" applyFill="1" applyBorder="1"/>
    <xf numFmtId="0" fontId="4" fillId="3" borderId="12" xfId="0" applyFont="1" applyFill="1" applyBorder="1" applyAlignment="1">
      <alignment horizontal="center"/>
    </xf>
    <xf numFmtId="0" fontId="0" fillId="3" borderId="14" xfId="0" applyFill="1" applyBorder="1" applyAlignment="1">
      <alignment horizontal="center"/>
    </xf>
    <xf numFmtId="3" fontId="4" fillId="3" borderId="12" xfId="0" applyNumberFormat="1" applyFont="1" applyFill="1" applyBorder="1" applyAlignment="1">
      <alignment horizontal="center" vertical="center"/>
    </xf>
    <xf numFmtId="3" fontId="4" fillId="3" borderId="12" xfId="0" applyNumberFormat="1" applyFont="1" applyFill="1" applyBorder="1" applyAlignment="1">
      <alignment horizontal="center"/>
    </xf>
    <xf numFmtId="0" fontId="0" fillId="3" borderId="3" xfId="0" applyFill="1" applyBorder="1" applyAlignment="1">
      <alignment vertical="center"/>
    </xf>
    <xf numFmtId="0" fontId="0" fillId="3" borderId="14" xfId="0" applyFill="1" applyBorder="1" applyAlignment="1">
      <alignment vertical="center"/>
    </xf>
    <xf numFmtId="0" fontId="0" fillId="3" borderId="3"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3" fillId="3" borderId="0" xfId="0" applyFont="1" applyFill="1"/>
    <xf numFmtId="0" fontId="17" fillId="3" borderId="0" xfId="0" applyFont="1" applyFill="1" applyAlignment="1">
      <alignment vertical="center" wrapText="1"/>
    </xf>
    <xf numFmtId="0" fontId="0" fillId="3" borderId="0" xfId="0" applyFill="1" applyAlignment="1">
      <alignment horizontal="center" vertical="center"/>
    </xf>
    <xf numFmtId="0" fontId="16" fillId="3" borderId="0" xfId="0" applyFont="1" applyFill="1"/>
    <xf numFmtId="0" fontId="16" fillId="3" borderId="0" xfId="0" applyFont="1" applyFill="1" applyAlignment="1">
      <alignment wrapText="1"/>
    </xf>
    <xf numFmtId="0" fontId="2" fillId="3" borderId="10" xfId="0" applyFont="1" applyFill="1" applyBorder="1" applyAlignment="1">
      <alignment horizontal="left"/>
    </xf>
    <xf numFmtId="0" fontId="2" fillId="3" borderId="10" xfId="0" applyFont="1" applyFill="1" applyBorder="1" applyAlignment="1">
      <alignment vertical="center"/>
    </xf>
    <xf numFmtId="0" fontId="2" fillId="3" borderId="10" xfId="0" applyFont="1" applyFill="1" applyBorder="1" applyAlignment="1">
      <alignment vertical="top"/>
    </xf>
    <xf numFmtId="0" fontId="2" fillId="3" borderId="0" xfId="0" applyFont="1" applyFill="1" applyAlignment="1">
      <alignment wrapText="1"/>
    </xf>
    <xf numFmtId="4" fontId="12" fillId="3" borderId="0" xfId="0" applyNumberFormat="1" applyFont="1" applyFill="1" applyAlignment="1">
      <alignment horizontal="center" vertical="center"/>
    </xf>
    <xf numFmtId="0" fontId="13" fillId="3" borderId="0" xfId="0" applyFont="1" applyFill="1"/>
    <xf numFmtId="0" fontId="31" fillId="3" borderId="0" xfId="0" applyFont="1" applyFill="1"/>
    <xf numFmtId="0" fontId="13" fillId="3" borderId="0" xfId="0" applyFont="1" applyFill="1" applyAlignment="1">
      <alignment horizontal="left"/>
    </xf>
    <xf numFmtId="0" fontId="8" fillId="0" borderId="0" xfId="0" applyFont="1" applyProtection="1">
      <protection locked="0"/>
    </xf>
    <xf numFmtId="0" fontId="17" fillId="0" borderId="2" xfId="0" applyFont="1" applyBorder="1" applyAlignment="1">
      <alignment horizontal="right"/>
    </xf>
    <xf numFmtId="0" fontId="16" fillId="0" borderId="3" xfId="0" applyFont="1" applyBorder="1"/>
    <xf numFmtId="0" fontId="17" fillId="0" borderId="1" xfId="0" applyFont="1" applyBorder="1"/>
    <xf numFmtId="0" fontId="17" fillId="0" borderId="2" xfId="0" applyFont="1" applyBorder="1"/>
    <xf numFmtId="0" fontId="17" fillId="0" borderId="2" xfId="0" applyFont="1" applyBorder="1" applyAlignment="1">
      <alignment horizontal="center"/>
    </xf>
    <xf numFmtId="0" fontId="16" fillId="0" borderId="5" xfId="0" applyFont="1" applyBorder="1"/>
    <xf numFmtId="0" fontId="17" fillId="0" borderId="5" xfId="0" applyFont="1" applyBorder="1" applyAlignment="1">
      <alignment horizontal="center"/>
    </xf>
    <xf numFmtId="0" fontId="16" fillId="0" borderId="6" xfId="0" applyFont="1" applyBorder="1"/>
    <xf numFmtId="0" fontId="17" fillId="0" borderId="4" xfId="0" applyFont="1" applyBorder="1"/>
    <xf numFmtId="0" fontId="17" fillId="0" borderId="4" xfId="0" applyFont="1" applyBorder="1" applyAlignment="1">
      <alignment horizontal="right" vertical="center" wrapText="1"/>
    </xf>
    <xf numFmtId="0" fontId="17" fillId="0" borderId="5" xfId="0" applyFont="1" applyBorder="1" applyAlignment="1">
      <alignment horizontal="right" vertical="center" wrapText="1"/>
    </xf>
    <xf numFmtId="0" fontId="4" fillId="0" borderId="5" xfId="0" applyFont="1" applyBorder="1" applyAlignment="1">
      <alignment horizontal="center"/>
    </xf>
    <xf numFmtId="0" fontId="2" fillId="3" borderId="0" xfId="0" applyFont="1" applyFill="1"/>
    <xf numFmtId="0" fontId="17" fillId="3" borderId="0" xfId="0" applyFont="1" applyFill="1" applyAlignment="1">
      <alignment horizontal="right"/>
    </xf>
    <xf numFmtId="49" fontId="2" fillId="3" borderId="0" xfId="0" applyNumberFormat="1" applyFont="1" applyFill="1" applyAlignment="1">
      <alignment horizontal="left"/>
    </xf>
    <xf numFmtId="0" fontId="2" fillId="0" borderId="0" xfId="0" applyFont="1" applyAlignment="1">
      <alignment horizontal="center"/>
    </xf>
    <xf numFmtId="165" fontId="16" fillId="3" borderId="0" xfId="0" applyNumberFormat="1" applyFont="1" applyFill="1" applyAlignment="1">
      <alignment horizontal="center"/>
    </xf>
    <xf numFmtId="0" fontId="16" fillId="3" borderId="0" xfId="0" applyFont="1" applyFill="1" applyAlignment="1">
      <alignment vertical="top" wrapText="1"/>
    </xf>
    <xf numFmtId="0" fontId="17" fillId="3" borderId="0" xfId="0" applyFont="1" applyFill="1"/>
    <xf numFmtId="0" fontId="0" fillId="4" borderId="20"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8" fillId="0" borderId="25" xfId="0" applyFont="1" applyBorder="1" applyAlignment="1">
      <alignment vertical="center"/>
    </xf>
    <xf numFmtId="165" fontId="17" fillId="0" borderId="25" xfId="0" applyNumberFormat="1" applyFont="1" applyBorder="1" applyAlignment="1">
      <alignment horizontal="center" vertical="center"/>
    </xf>
    <xf numFmtId="0" fontId="16" fillId="0" borderId="25" xfId="0" applyFont="1" applyBorder="1" applyAlignment="1">
      <alignment vertical="center"/>
    </xf>
    <xf numFmtId="0" fontId="8" fillId="0" borderId="16" xfId="0" quotePrefix="1" applyFont="1" applyBorder="1" applyAlignment="1">
      <alignment vertical="center"/>
    </xf>
    <xf numFmtId="0" fontId="7" fillId="0" borderId="25" xfId="0" applyFont="1" applyBorder="1" applyAlignment="1">
      <alignment vertical="center"/>
    </xf>
    <xf numFmtId="0" fontId="8" fillId="0" borderId="16" xfId="0" applyFont="1" applyBorder="1" applyAlignment="1">
      <alignment vertical="center"/>
    </xf>
    <xf numFmtId="0" fontId="8" fillId="0" borderId="25" xfId="0" quotePrefix="1" applyFont="1" applyBorder="1" applyAlignment="1">
      <alignment vertical="center"/>
    </xf>
    <xf numFmtId="165" fontId="7" fillId="0" borderId="25" xfId="0" applyNumberFormat="1" applyFont="1" applyBorder="1" applyAlignment="1">
      <alignment horizontal="center" vertical="center"/>
    </xf>
    <xf numFmtId="0" fontId="12" fillId="0" borderId="24" xfId="0" applyFont="1" applyBorder="1" applyAlignment="1">
      <alignment vertical="center"/>
    </xf>
    <xf numFmtId="165" fontId="12" fillId="0" borderId="25" xfId="0" applyNumberFormat="1" applyFont="1" applyBorder="1" applyAlignment="1">
      <alignment horizontal="center" vertical="center"/>
    </xf>
    <xf numFmtId="0" fontId="8" fillId="0" borderId="16" xfId="0" quotePrefix="1" applyFont="1" applyBorder="1" applyAlignment="1">
      <alignment horizontal="left" vertical="center"/>
    </xf>
    <xf numFmtId="0" fontId="4" fillId="0" borderId="5" xfId="0" applyFont="1" applyBorder="1" applyAlignment="1">
      <alignment horizontal="left"/>
    </xf>
    <xf numFmtId="7" fontId="17" fillId="0" borderId="5" xfId="0" applyNumberFormat="1" applyFont="1" applyBorder="1" applyAlignment="1">
      <alignment horizontal="center"/>
    </xf>
    <xf numFmtId="0" fontId="4" fillId="0" borderId="5" xfId="0" quotePrefix="1" applyFont="1" applyBorder="1"/>
    <xf numFmtId="7" fontId="4" fillId="0" borderId="5" xfId="0" applyNumberFormat="1" applyFont="1" applyBorder="1" applyAlignment="1">
      <alignment horizontal="center"/>
    </xf>
    <xf numFmtId="0" fontId="10" fillId="0" borderId="0" xfId="0" applyFont="1" applyAlignment="1">
      <alignment horizontal="left"/>
    </xf>
    <xf numFmtId="165" fontId="16" fillId="0" borderId="13" xfId="0" applyNumberFormat="1" applyFont="1" applyBorder="1" applyAlignment="1">
      <alignment horizontal="center"/>
    </xf>
    <xf numFmtId="0" fontId="8" fillId="0" borderId="12" xfId="0" applyFont="1" applyBorder="1"/>
    <xf numFmtId="0" fontId="4" fillId="0" borderId="6" xfId="0" quotePrefix="1" applyFont="1" applyBorder="1"/>
    <xf numFmtId="0" fontId="4" fillId="0" borderId="13" xfId="0" applyFont="1" applyBorder="1"/>
    <xf numFmtId="0" fontId="16" fillId="0" borderId="13" xfId="0" applyFont="1" applyBorder="1" applyAlignment="1">
      <alignment horizontal="center"/>
    </xf>
    <xf numFmtId="0" fontId="2" fillId="0" borderId="13" xfId="0" quotePrefix="1" applyFont="1" applyBorder="1"/>
    <xf numFmtId="0" fontId="8" fillId="0" borderId="13" xfId="0" applyFont="1" applyBorder="1" applyAlignment="1">
      <alignment horizontal="center"/>
    </xf>
    <xf numFmtId="0" fontId="2" fillId="0" borderId="14" xfId="0" quotePrefix="1" applyFont="1" applyBorder="1"/>
    <xf numFmtId="0" fontId="2" fillId="0" borderId="3" xfId="0" applyFont="1" applyBorder="1"/>
    <xf numFmtId="0" fontId="1" fillId="3" borderId="0" xfId="2" applyFill="1"/>
    <xf numFmtId="0" fontId="35" fillId="3" borderId="0" xfId="1" applyFont="1" applyFill="1" applyAlignment="1" applyProtection="1">
      <protection locked="0"/>
    </xf>
    <xf numFmtId="0" fontId="36" fillId="3" borderId="0" xfId="1" applyFont="1" applyFill="1" applyAlignment="1" applyProtection="1">
      <protection locked="0"/>
    </xf>
    <xf numFmtId="0" fontId="13" fillId="3" borderId="0" xfId="0" applyFont="1" applyFill="1" applyProtection="1">
      <protection locked="0"/>
    </xf>
    <xf numFmtId="0" fontId="4" fillId="3" borderId="1" xfId="0" applyFont="1" applyFill="1" applyBorder="1" applyAlignment="1">
      <alignment horizontal="center" vertical="top" wrapText="1"/>
    </xf>
    <xf numFmtId="0" fontId="0" fillId="3" borderId="3" xfId="0" applyFill="1" applyBorder="1" applyAlignment="1">
      <alignment horizontal="center" vertical="top"/>
    </xf>
    <xf numFmtId="0" fontId="0" fillId="3" borderId="10" xfId="0" applyFill="1" applyBorder="1" applyAlignment="1">
      <alignment horizontal="center" vertical="top"/>
    </xf>
    <xf numFmtId="0" fontId="0" fillId="3" borderId="11" xfId="0" applyFill="1" applyBorder="1" applyAlignment="1">
      <alignment horizontal="center" vertical="top"/>
    </xf>
    <xf numFmtId="0" fontId="0" fillId="3" borderId="12" xfId="0" applyFill="1" applyBorder="1" applyAlignment="1">
      <alignment horizontal="center" vertical="top"/>
    </xf>
    <xf numFmtId="0" fontId="0" fillId="3" borderId="14" xfId="0" applyFill="1" applyBorder="1" applyAlignment="1">
      <alignment horizontal="center" vertical="top"/>
    </xf>
    <xf numFmtId="0" fontId="4" fillId="3" borderId="17" xfId="0" applyFont="1" applyFill="1" applyBorder="1" applyAlignment="1">
      <alignment horizontal="center" vertical="top" wrapText="1"/>
    </xf>
    <xf numFmtId="0" fontId="0" fillId="3" borderId="18" xfId="0" applyFill="1" applyBorder="1" applyAlignment="1">
      <alignment vertical="top"/>
    </xf>
    <xf numFmtId="0" fontId="0" fillId="3" borderId="19" xfId="0" applyFill="1" applyBorder="1" applyAlignment="1">
      <alignment vertical="top"/>
    </xf>
    <xf numFmtId="0" fontId="0" fillId="4" borderId="17"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169" fontId="20" fillId="3" borderId="17" xfId="0" applyNumberFormat="1" applyFont="1" applyFill="1" applyBorder="1" applyAlignment="1">
      <alignment horizontal="center" vertical="center"/>
    </xf>
    <xf numFmtId="169" fontId="0" fillId="3" borderId="19" xfId="0" applyNumberFormat="1" applyFill="1" applyBorder="1" applyAlignment="1">
      <alignment horizontal="center" vertical="center"/>
    </xf>
    <xf numFmtId="0" fontId="4" fillId="3" borderId="1" xfId="0" applyFont="1" applyFill="1" applyBorder="1" applyAlignment="1">
      <alignment horizontal="center" vertical="center"/>
    </xf>
    <xf numFmtId="0" fontId="0" fillId="3" borderId="12" xfId="0" applyFill="1" applyBorder="1" applyAlignment="1">
      <alignment vertical="center"/>
    </xf>
    <xf numFmtId="0" fontId="0" fillId="3" borderId="12" xfId="0" applyFill="1" applyBorder="1" applyAlignment="1">
      <alignment horizontal="center" vertical="center"/>
    </xf>
    <xf numFmtId="3" fontId="4" fillId="3" borderId="17" xfId="0" applyNumberFormat="1" applyFont="1" applyFill="1" applyBorder="1" applyAlignment="1">
      <alignment horizontal="center" vertical="center"/>
    </xf>
    <xf numFmtId="0" fontId="0" fillId="3" borderId="18" xfId="0" applyFill="1" applyBorder="1" applyAlignment="1">
      <alignment horizontal="center" vertical="center"/>
    </xf>
    <xf numFmtId="0" fontId="3" fillId="3" borderId="1" xfId="0" applyFont="1" applyFill="1" applyBorder="1" applyAlignment="1">
      <alignment horizontal="center"/>
    </xf>
    <xf numFmtId="0" fontId="0" fillId="3" borderId="3" xfId="0" applyFill="1" applyBorder="1"/>
    <xf numFmtId="0" fontId="2" fillId="3" borderId="10" xfId="0" applyFont="1" applyFill="1" applyBorder="1" applyAlignment="1">
      <alignment horizontal="center"/>
    </xf>
    <xf numFmtId="0" fontId="0" fillId="3" borderId="11" xfId="0" applyFill="1" applyBorder="1"/>
    <xf numFmtId="0" fontId="0" fillId="3" borderId="10" xfId="0" applyFill="1" applyBorder="1" applyAlignment="1">
      <alignment horizontal="center" vertical="center"/>
    </xf>
    <xf numFmtId="0" fontId="2" fillId="3" borderId="1" xfId="0" applyFont="1" applyFill="1" applyBorder="1" applyAlignment="1">
      <alignment horizontal="center"/>
    </xf>
    <xf numFmtId="0" fontId="3" fillId="3" borderId="10" xfId="0" applyFont="1" applyFill="1" applyBorder="1" applyAlignment="1">
      <alignment horizontal="center"/>
    </xf>
    <xf numFmtId="0" fontId="0" fillId="3" borderId="19" xfId="0" applyFill="1" applyBorder="1" applyAlignment="1">
      <alignment horizontal="center" vertical="center"/>
    </xf>
    <xf numFmtId="0" fontId="4" fillId="0" borderId="7" xfId="0" applyFont="1" applyBorder="1"/>
    <xf numFmtId="0" fontId="0" fillId="0" borderId="8" xfId="0" applyBorder="1"/>
    <xf numFmtId="0" fontId="2" fillId="0" borderId="0" xfId="0" applyFont="1" applyAlignment="1">
      <alignment horizontal="left" vertical="center" wrapText="1"/>
    </xf>
    <xf numFmtId="0" fontId="2" fillId="0" borderId="0" xfId="0" applyFont="1" applyAlignment="1">
      <alignment wrapText="1"/>
    </xf>
    <xf numFmtId="0" fontId="8" fillId="0" borderId="0" xfId="0" applyFont="1" applyAlignment="1">
      <alignment wrapText="1"/>
    </xf>
    <xf numFmtId="0" fontId="3" fillId="0" borderId="0" xfId="0" applyFont="1" applyAlignment="1">
      <alignment horizontal="left" wrapText="1"/>
    </xf>
    <xf numFmtId="0" fontId="2" fillId="0" borderId="0" xfId="0" applyFont="1" applyAlignment="1">
      <alignment vertical="top" wrapText="1"/>
    </xf>
    <xf numFmtId="0" fontId="0" fillId="0" borderId="0" xfId="0"/>
    <xf numFmtId="0" fontId="3" fillId="0" borderId="0" xfId="0" applyFont="1"/>
    <xf numFmtId="0" fontId="14" fillId="0" borderId="10" xfId="0" applyFont="1" applyBorder="1" applyAlignment="1">
      <alignment horizontal="left" wrapText="1"/>
    </xf>
    <xf numFmtId="0" fontId="14" fillId="0" borderId="0" xfId="0" applyFont="1" applyAlignment="1">
      <alignment horizontal="left" wrapText="1"/>
    </xf>
    <xf numFmtId="0" fontId="14" fillId="0" borderId="11" xfId="0" applyFont="1" applyBorder="1" applyAlignment="1">
      <alignment horizontal="left" wrapText="1"/>
    </xf>
    <xf numFmtId="0" fontId="12" fillId="2" borderId="0" xfId="0" applyFont="1" applyFill="1" applyAlignment="1" applyProtection="1">
      <alignment horizontal="center"/>
      <protection locked="0"/>
    </xf>
    <xf numFmtId="0" fontId="13" fillId="0" borderId="0" xfId="0" applyFont="1" applyAlignment="1" applyProtection="1">
      <alignment horizontal="center"/>
      <protection locked="0"/>
    </xf>
    <xf numFmtId="0" fontId="3" fillId="0" borderId="0" xfId="0" applyFont="1" applyAlignment="1">
      <alignment horizontal="left" vertical="top" wrapText="1"/>
    </xf>
    <xf numFmtId="0" fontId="8" fillId="0" borderId="0" xfId="0" applyFont="1" applyAlignment="1">
      <alignment horizontal="left" wrapText="1"/>
    </xf>
    <xf numFmtId="0" fontId="2" fillId="0" borderId="0" xfId="0" applyFont="1" applyAlignment="1">
      <alignment horizontal="left" wrapText="1"/>
    </xf>
    <xf numFmtId="1" fontId="16" fillId="0" borderId="0" xfId="0" applyNumberFormat="1" applyFont="1" applyAlignment="1">
      <alignment horizontal="center" vertical="center" wrapText="1"/>
    </xf>
    <xf numFmtId="0" fontId="9" fillId="0" borderId="0" xfId="0" applyFont="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17" fillId="0" borderId="2" xfId="0" applyFont="1" applyBorder="1" applyAlignment="1">
      <alignment vertical="center" wrapText="1"/>
    </xf>
    <xf numFmtId="0" fontId="16" fillId="0" borderId="5" xfId="0" applyFont="1" applyBorder="1" applyAlignment="1">
      <alignment vertical="center" wrapText="1"/>
    </xf>
    <xf numFmtId="0" fontId="2" fillId="0" borderId="0" xfId="0" applyFont="1" applyAlignment="1">
      <alignment horizontal="left" vertical="top" wrapText="1"/>
    </xf>
    <xf numFmtId="49" fontId="12" fillId="2" borderId="0" xfId="0" applyNumberFormat="1" applyFont="1" applyFill="1" applyAlignment="1" applyProtection="1">
      <alignment horizontal="center"/>
      <protection locked="0"/>
    </xf>
    <xf numFmtId="0" fontId="4" fillId="0" borderId="10" xfId="0" applyFont="1" applyBorder="1" applyAlignment="1">
      <alignment horizontal="left" wrapText="1"/>
    </xf>
    <xf numFmtId="0" fontId="0" fillId="0" borderId="0" xfId="0" applyAlignment="1">
      <alignment horizontal="left" wrapText="1"/>
    </xf>
    <xf numFmtId="0" fontId="7" fillId="0" borderId="10" xfId="0" applyFont="1" applyBorder="1" applyAlignment="1">
      <alignment horizontal="left" wrapText="1"/>
    </xf>
    <xf numFmtId="0" fontId="2" fillId="0" borderId="10" xfId="0" applyFont="1" applyBorder="1" applyAlignment="1">
      <alignment horizontal="left" wrapText="1"/>
    </xf>
    <xf numFmtId="0" fontId="37" fillId="0" borderId="0" xfId="0" applyFont="1" applyAlignment="1">
      <alignment horizontal="left" wrapText="1"/>
    </xf>
    <xf numFmtId="0" fontId="37" fillId="0" borderId="11" xfId="0" applyFont="1" applyBorder="1" applyAlignment="1">
      <alignment horizontal="left" wrapText="1"/>
    </xf>
    <xf numFmtId="0" fontId="37" fillId="0" borderId="10" xfId="0" applyFont="1" applyBorder="1" applyAlignment="1">
      <alignment horizontal="left" wrapText="1"/>
    </xf>
    <xf numFmtId="164" fontId="8" fillId="0" borderId="11" xfId="0" applyNumberFormat="1" applyFont="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vertical="center"/>
    </xf>
    <xf numFmtId="0" fontId="17" fillId="0" borderId="2" xfId="0" applyFont="1" applyBorder="1" applyAlignment="1">
      <alignment horizontal="center"/>
    </xf>
    <xf numFmtId="0" fontId="16" fillId="0" borderId="2" xfId="0" applyFont="1" applyBorder="1" applyAlignment="1">
      <alignment horizontal="center"/>
    </xf>
    <xf numFmtId="0" fontId="17" fillId="0" borderId="1" xfId="0" applyFont="1" applyBorder="1" applyAlignment="1">
      <alignment horizontal="right" wrapText="1"/>
    </xf>
    <xf numFmtId="0" fontId="16" fillId="0" borderId="2" xfId="0" applyFont="1" applyBorder="1" applyAlignment="1">
      <alignment horizontal="right" wrapText="1"/>
    </xf>
    <xf numFmtId="0" fontId="9" fillId="0" borderId="10"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164" fontId="8" fillId="0" borderId="0" xfId="0" applyNumberFormat="1" applyFont="1" applyAlignment="1">
      <alignment horizontal="left" vertical="center" wrapText="1"/>
    </xf>
    <xf numFmtId="0" fontId="38" fillId="0" borderId="10" xfId="0" applyFont="1" applyBorder="1" applyAlignment="1">
      <alignment wrapText="1"/>
    </xf>
    <xf numFmtId="0" fontId="5" fillId="0" borderId="0" xfId="0" applyFont="1" applyAlignment="1">
      <alignment wrapText="1"/>
    </xf>
    <xf numFmtId="0" fontId="5" fillId="0" borderId="11" xfId="0" applyFont="1" applyBorder="1" applyAlignment="1">
      <alignment wrapText="1"/>
    </xf>
    <xf numFmtId="0" fontId="5" fillId="0" borderId="10" xfId="0" applyFont="1" applyBorder="1" applyAlignment="1">
      <alignment wrapText="1"/>
    </xf>
    <xf numFmtId="0" fontId="3" fillId="0" borderId="0" xfId="0" applyFont="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7A37"/>
      <color rgb="FF333399"/>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AU" sz="1650" b="1" i="0" u="none" strike="noStrike" baseline="0">
                <a:solidFill>
                  <a:srgbClr val="000000"/>
                </a:solidFill>
                <a:latin typeface="Arial"/>
                <a:cs typeface="Arial"/>
              </a:rPr>
              <a:t>Income less harvest costs for the options of hay vs silage vs grain</a:t>
            </a:r>
          </a:p>
          <a:p>
            <a:pPr>
              <a:defRPr sz="1200" b="0" i="0" u="none" strike="noStrike" baseline="0">
                <a:solidFill>
                  <a:srgbClr val="000000"/>
                </a:solidFill>
                <a:latin typeface="Arial"/>
                <a:ea typeface="Arial"/>
                <a:cs typeface="Arial"/>
              </a:defRPr>
            </a:pPr>
            <a:r>
              <a:rPr lang="en-AU" sz="1025" b="1" i="0" u="none" strike="noStrike" baseline="0">
                <a:solidFill>
                  <a:srgbClr val="000000"/>
                </a:solidFill>
                <a:latin typeface="Arial"/>
                <a:cs typeface="Arial"/>
              </a:rPr>
              <a:t>based on data entered on calculator page with product value being the only variable</a:t>
            </a:r>
          </a:p>
        </c:rich>
      </c:tx>
      <c:layout>
        <c:manualLayout>
          <c:xMode val="edge"/>
          <c:yMode val="edge"/>
          <c:x val="0.14462258553458862"/>
          <c:y val="2.9239796938846683E-2"/>
        </c:manualLayout>
      </c:layout>
      <c:overlay val="0"/>
      <c:spPr>
        <a:noFill/>
        <a:ln w="25400">
          <a:noFill/>
        </a:ln>
      </c:spPr>
    </c:title>
    <c:autoTitleDeleted val="0"/>
    <c:plotArea>
      <c:layout>
        <c:manualLayout>
          <c:layoutTarget val="inner"/>
          <c:xMode val="edge"/>
          <c:yMode val="edge"/>
          <c:x val="8.7984262784503858E-2"/>
          <c:y val="0.21637446208258926"/>
          <c:w val="0.7065004981800459"/>
          <c:h val="0.67836317842109051"/>
        </c:manualLayout>
      </c:layout>
      <c:scatterChart>
        <c:scatterStyle val="smoothMarker"/>
        <c:varyColors val="0"/>
        <c:ser>
          <c:idx val="0"/>
          <c:order val="0"/>
          <c:tx>
            <c:strRef>
              <c:f>'Price sensitivity data'!$B$1</c:f>
              <c:strCache>
                <c:ptCount val="1"/>
                <c:pt idx="0">
                  <c:v>Hay</c:v>
                </c:pt>
              </c:strCache>
            </c:strRef>
          </c:tx>
          <c:spPr>
            <a:ln w="25400">
              <a:solidFill>
                <a:srgbClr val="0070C0"/>
              </a:solidFill>
              <a:prstDash val="solid"/>
            </a:ln>
          </c:spPr>
          <c:marker>
            <c:symbol val="diamond"/>
            <c:size val="7"/>
            <c:spPr>
              <a:solidFill>
                <a:srgbClr val="0070C0"/>
              </a:solidFill>
              <a:ln>
                <a:solidFill>
                  <a:srgbClr val="000080"/>
                </a:solidFill>
                <a:prstDash val="solid"/>
              </a:ln>
            </c:spPr>
          </c:marker>
          <c:xVal>
            <c:numRef>
              <c:f>'Price sensitivity data'!$A$2:$A$13</c:f>
              <c:numCache>
                <c:formatCode>"$"#,##0</c:formatCode>
                <c:ptCount val="12"/>
                <c:pt idx="0">
                  <c:v>50</c:v>
                </c:pt>
                <c:pt idx="1">
                  <c:v>100</c:v>
                </c:pt>
                <c:pt idx="2">
                  <c:v>150</c:v>
                </c:pt>
                <c:pt idx="3">
                  <c:v>200</c:v>
                </c:pt>
                <c:pt idx="4">
                  <c:v>250</c:v>
                </c:pt>
                <c:pt idx="5">
                  <c:v>300</c:v>
                </c:pt>
                <c:pt idx="6">
                  <c:v>350</c:v>
                </c:pt>
                <c:pt idx="7">
                  <c:v>400</c:v>
                </c:pt>
                <c:pt idx="8">
                  <c:v>450</c:v>
                </c:pt>
                <c:pt idx="9">
                  <c:v>500</c:v>
                </c:pt>
                <c:pt idx="10">
                  <c:v>550</c:v>
                </c:pt>
                <c:pt idx="11">
                  <c:v>600</c:v>
                </c:pt>
              </c:numCache>
            </c:numRef>
          </c:xVal>
          <c:yVal>
            <c:numRef>
              <c:f>'Price sensitivity data'!$B$2:$B$10</c:f>
              <c:numCache>
                <c:formatCode>"$"#,##0</c:formatCode>
                <c:ptCount val="9"/>
                <c:pt idx="0">
                  <c:v>-89.999999999999972</c:v>
                </c:pt>
                <c:pt idx="1">
                  <c:v>125.51724137931041</c:v>
                </c:pt>
                <c:pt idx="2">
                  <c:v>341.0344827586207</c:v>
                </c:pt>
                <c:pt idx="3">
                  <c:v>556.55172413793116</c:v>
                </c:pt>
                <c:pt idx="4">
                  <c:v>772.06896551724151</c:v>
                </c:pt>
                <c:pt idx="5">
                  <c:v>987.58620689655174</c:v>
                </c:pt>
                <c:pt idx="6">
                  <c:v>1203.1034482758623</c:v>
                </c:pt>
                <c:pt idx="7">
                  <c:v>1418.6206896551726</c:v>
                </c:pt>
                <c:pt idx="8">
                  <c:v>1634.1379310344828</c:v>
                </c:pt>
              </c:numCache>
            </c:numRef>
          </c:yVal>
          <c:smooth val="1"/>
          <c:extLst>
            <c:ext xmlns:c16="http://schemas.microsoft.com/office/drawing/2014/chart" uri="{C3380CC4-5D6E-409C-BE32-E72D297353CC}">
              <c16:uniqueId val="{00000000-DE53-4324-A439-E314DA6A8604}"/>
            </c:ext>
          </c:extLst>
        </c:ser>
        <c:ser>
          <c:idx val="1"/>
          <c:order val="1"/>
          <c:tx>
            <c:strRef>
              <c:f>'Price sensitivity data'!$C$1</c:f>
              <c:strCache>
                <c:ptCount val="1"/>
                <c:pt idx="0">
                  <c:v>Silage</c:v>
                </c:pt>
              </c:strCache>
            </c:strRef>
          </c:tx>
          <c:spPr>
            <a:ln w="25400">
              <a:solidFill>
                <a:srgbClr val="FF00FF"/>
              </a:solidFill>
              <a:prstDash val="solid"/>
            </a:ln>
          </c:spPr>
          <c:marker>
            <c:symbol val="square"/>
            <c:size val="7"/>
            <c:spPr>
              <a:solidFill>
                <a:srgbClr val="FF00FF"/>
              </a:solidFill>
              <a:ln>
                <a:solidFill>
                  <a:srgbClr val="FF00FF"/>
                </a:solidFill>
                <a:prstDash val="solid"/>
              </a:ln>
            </c:spPr>
          </c:marker>
          <c:xVal>
            <c:numRef>
              <c:f>'Price sensitivity data'!$A$2:$A$13</c:f>
              <c:numCache>
                <c:formatCode>"$"#,##0</c:formatCode>
                <c:ptCount val="12"/>
                <c:pt idx="0">
                  <c:v>50</c:v>
                </c:pt>
                <c:pt idx="1">
                  <c:v>100</c:v>
                </c:pt>
                <c:pt idx="2">
                  <c:v>150</c:v>
                </c:pt>
                <c:pt idx="3">
                  <c:v>200</c:v>
                </c:pt>
                <c:pt idx="4">
                  <c:v>250</c:v>
                </c:pt>
                <c:pt idx="5">
                  <c:v>300</c:v>
                </c:pt>
                <c:pt idx="6">
                  <c:v>350</c:v>
                </c:pt>
                <c:pt idx="7">
                  <c:v>400</c:v>
                </c:pt>
                <c:pt idx="8">
                  <c:v>450</c:v>
                </c:pt>
                <c:pt idx="9">
                  <c:v>500</c:v>
                </c:pt>
                <c:pt idx="10">
                  <c:v>550</c:v>
                </c:pt>
                <c:pt idx="11">
                  <c:v>600</c:v>
                </c:pt>
              </c:numCache>
            </c:numRef>
          </c:xVal>
          <c:yVal>
            <c:numRef>
              <c:f>'Price sensitivity data'!$C$2:$C$6</c:f>
              <c:numCache>
                <c:formatCode>"$"#,##0</c:formatCode>
                <c:ptCount val="5"/>
                <c:pt idx="0">
                  <c:v>-156.40625</c:v>
                </c:pt>
                <c:pt idx="1">
                  <c:v>374.84375</c:v>
                </c:pt>
                <c:pt idx="2">
                  <c:v>906.09375</c:v>
                </c:pt>
                <c:pt idx="3">
                  <c:v>1437.34375</c:v>
                </c:pt>
                <c:pt idx="4">
                  <c:v>1968.59375</c:v>
                </c:pt>
              </c:numCache>
            </c:numRef>
          </c:yVal>
          <c:smooth val="1"/>
          <c:extLst>
            <c:ext xmlns:c16="http://schemas.microsoft.com/office/drawing/2014/chart" uri="{C3380CC4-5D6E-409C-BE32-E72D297353CC}">
              <c16:uniqueId val="{00000001-DE53-4324-A439-E314DA6A8604}"/>
            </c:ext>
          </c:extLst>
        </c:ser>
        <c:ser>
          <c:idx val="2"/>
          <c:order val="2"/>
          <c:tx>
            <c:strRef>
              <c:f>'Price sensitivity data'!$D$1</c:f>
              <c:strCache>
                <c:ptCount val="1"/>
                <c:pt idx="0">
                  <c:v>Grain (contract harvest)</c:v>
                </c:pt>
              </c:strCache>
            </c:strRef>
          </c:tx>
          <c:spPr>
            <a:ln w="25400">
              <a:solidFill>
                <a:srgbClr val="000000"/>
              </a:solidFill>
              <a:prstDash val="sysDash"/>
            </a:ln>
          </c:spPr>
          <c:marker>
            <c:symbol val="triangle"/>
            <c:size val="5"/>
            <c:spPr>
              <a:solidFill>
                <a:srgbClr val="000000"/>
              </a:solidFill>
              <a:ln>
                <a:solidFill>
                  <a:srgbClr val="000000"/>
                </a:solidFill>
                <a:prstDash val="solid"/>
              </a:ln>
            </c:spPr>
          </c:marker>
          <c:xVal>
            <c:numRef>
              <c:f>'Price sensitivity data'!$A$2:$A$13</c:f>
              <c:numCache>
                <c:formatCode>"$"#,##0</c:formatCode>
                <c:ptCount val="12"/>
                <c:pt idx="0">
                  <c:v>50</c:v>
                </c:pt>
                <c:pt idx="1">
                  <c:v>100</c:v>
                </c:pt>
                <c:pt idx="2">
                  <c:v>150</c:v>
                </c:pt>
                <c:pt idx="3">
                  <c:v>200</c:v>
                </c:pt>
                <c:pt idx="4">
                  <c:v>250</c:v>
                </c:pt>
                <c:pt idx="5">
                  <c:v>300</c:v>
                </c:pt>
                <c:pt idx="6">
                  <c:v>350</c:v>
                </c:pt>
                <c:pt idx="7">
                  <c:v>400</c:v>
                </c:pt>
                <c:pt idx="8">
                  <c:v>450</c:v>
                </c:pt>
                <c:pt idx="9">
                  <c:v>500</c:v>
                </c:pt>
                <c:pt idx="10">
                  <c:v>550</c:v>
                </c:pt>
                <c:pt idx="11">
                  <c:v>600</c:v>
                </c:pt>
              </c:numCache>
            </c:numRef>
          </c:xVal>
          <c:yVal>
            <c:numRef>
              <c:f>'Price sensitivity data'!$D$2:$D$13</c:f>
              <c:numCache>
                <c:formatCode>"$"#,##0</c:formatCode>
                <c:ptCount val="12"/>
                <c:pt idx="0">
                  <c:v>-20.154320987654312</c:v>
                </c:pt>
                <c:pt idx="1">
                  <c:v>9.8456790123456912</c:v>
                </c:pt>
                <c:pt idx="2">
                  <c:v>39.845679012345698</c:v>
                </c:pt>
                <c:pt idx="3">
                  <c:v>69.845679012345698</c:v>
                </c:pt>
                <c:pt idx="4">
                  <c:v>99.845679012345713</c:v>
                </c:pt>
                <c:pt idx="5">
                  <c:v>129.84567901234573</c:v>
                </c:pt>
                <c:pt idx="6">
                  <c:v>159.84567901234573</c:v>
                </c:pt>
                <c:pt idx="7">
                  <c:v>189.84567901234573</c:v>
                </c:pt>
                <c:pt idx="8">
                  <c:v>219.84567901234573</c:v>
                </c:pt>
                <c:pt idx="9">
                  <c:v>249.84567901234573</c:v>
                </c:pt>
                <c:pt idx="10">
                  <c:v>279.84567901234573</c:v>
                </c:pt>
                <c:pt idx="11">
                  <c:v>309.84567901234573</c:v>
                </c:pt>
              </c:numCache>
            </c:numRef>
          </c:yVal>
          <c:smooth val="1"/>
          <c:extLst>
            <c:ext xmlns:c16="http://schemas.microsoft.com/office/drawing/2014/chart" uri="{C3380CC4-5D6E-409C-BE32-E72D297353CC}">
              <c16:uniqueId val="{00000002-DE53-4324-A439-E314DA6A8604}"/>
            </c:ext>
          </c:extLst>
        </c:ser>
        <c:dLbls>
          <c:showLegendKey val="0"/>
          <c:showVal val="0"/>
          <c:showCatName val="0"/>
          <c:showSerName val="0"/>
          <c:showPercent val="0"/>
          <c:showBubbleSize val="0"/>
        </c:dLbls>
        <c:axId val="51579904"/>
        <c:axId val="54502912"/>
      </c:scatterChart>
      <c:valAx>
        <c:axId val="51579904"/>
        <c:scaling>
          <c:orientation val="minMax"/>
          <c:max val="600"/>
        </c:scaling>
        <c:delete val="0"/>
        <c:axPos val="b"/>
        <c:title>
          <c:tx>
            <c:rich>
              <a:bodyPr/>
              <a:lstStyle/>
              <a:p>
                <a:pPr>
                  <a:defRPr sz="1200" b="1" i="0" u="none" strike="noStrike" baseline="0">
                    <a:solidFill>
                      <a:srgbClr val="000000"/>
                    </a:solidFill>
                    <a:latin typeface="Arial"/>
                    <a:ea typeface="Arial"/>
                    <a:cs typeface="Arial"/>
                  </a:defRPr>
                </a:pPr>
                <a:r>
                  <a:rPr lang="en-AU"/>
                  <a:t>Product price ($/tonne on farm)</a:t>
                </a:r>
              </a:p>
            </c:rich>
          </c:tx>
          <c:layout>
            <c:manualLayout>
              <c:xMode val="edge"/>
              <c:yMode val="edge"/>
              <c:x val="0.38279719713302418"/>
              <c:y val="0.91812942241868889"/>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4502912"/>
        <c:crosses val="autoZero"/>
        <c:crossBetween val="midCat"/>
        <c:majorUnit val="50"/>
      </c:valAx>
      <c:valAx>
        <c:axId val="545029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AU"/>
                  <a:t>Income less harvest costs</a:t>
                </a:r>
              </a:p>
            </c:rich>
          </c:tx>
          <c:layout>
            <c:manualLayout>
              <c:xMode val="edge"/>
              <c:yMode val="edge"/>
              <c:x val="1.2475377544320421E-2"/>
              <c:y val="0.37134541296373041"/>
            </c:manualLayout>
          </c:layout>
          <c:overlay val="0"/>
          <c:spPr>
            <a:noFill/>
            <a:ln w="25400">
              <a:noFill/>
            </a:ln>
          </c:spPr>
        </c:title>
        <c:numFmt formatCode="&quot;$&quot;#,##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1579904"/>
        <c:crosses val="autoZero"/>
        <c:crossBetween val="midCat"/>
      </c:valAx>
      <c:spPr>
        <a:noFill/>
        <a:ln w="12700">
          <a:solidFill>
            <a:srgbClr val="808080"/>
          </a:solidFill>
          <a:prstDash val="solid"/>
        </a:ln>
      </c:spPr>
    </c:plotArea>
    <c:legend>
      <c:legendPos val="r"/>
      <c:layout>
        <c:manualLayout>
          <c:xMode val="edge"/>
          <c:yMode val="edge"/>
          <c:x val="0.81615250326145217"/>
          <c:y val="0.43859687495203453"/>
          <c:w val="0.1759684832567302"/>
          <c:h val="0.3230997989286426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2392680</xdr:colOff>
      <xdr:row>2</xdr:row>
      <xdr:rowOff>396240</xdr:rowOff>
    </xdr:to>
    <xdr:pic>
      <xdr:nvPicPr>
        <xdr:cNvPr id="15438" name="Picture 2">
          <a:extLst>
            <a:ext uri="{FF2B5EF4-FFF2-40B4-BE49-F238E27FC236}">
              <a16:creationId xmlns:a16="http://schemas.microsoft.com/office/drawing/2014/main" id="{00000000-0008-0000-0000-00004E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235458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4358640</xdr:colOff>
      <xdr:row>0</xdr:row>
      <xdr:rowOff>0</xdr:rowOff>
    </xdr:from>
    <xdr:to>
      <xdr:col>1</xdr:col>
      <xdr:colOff>0</xdr:colOff>
      <xdr:row>3</xdr:row>
      <xdr:rowOff>74903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358640" y="0"/>
          <a:ext cx="1653540" cy="829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7620</xdr:rowOff>
    </xdr:from>
    <xdr:to>
      <xdr:col>10</xdr:col>
      <xdr:colOff>7620</xdr:colOff>
      <xdr:row>52</xdr:row>
      <xdr:rowOff>165100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7620"/>
          <a:ext cx="6088380" cy="9403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a:p>
          <a:endParaRPr lang="en-AU" sz="1100"/>
        </a:p>
        <a:p>
          <a:endParaRPr lang="en-AU" sz="1100"/>
        </a:p>
        <a:p>
          <a:pPr>
            <a:lnSpc>
              <a:spcPct val="115000"/>
            </a:lnSpc>
            <a:spcAft>
              <a:spcPts val="1000"/>
            </a:spcAft>
          </a:pPr>
          <a:endParaRPr lang="en-AU" sz="800" b="1">
            <a:solidFill>
              <a:srgbClr val="333399"/>
            </a:solidFill>
            <a:effectLst/>
            <a:latin typeface="Arial"/>
            <a:ea typeface="Calibri"/>
            <a:cs typeface="Times New Roman"/>
          </a:endParaRPr>
        </a:p>
        <a:p>
          <a:pPr>
            <a:lnSpc>
              <a:spcPct val="115000"/>
            </a:lnSpc>
            <a:spcAft>
              <a:spcPts val="1000"/>
            </a:spcAft>
          </a:pPr>
          <a:r>
            <a:rPr lang="en-AU" sz="2000" b="1">
              <a:solidFill>
                <a:srgbClr val="333399"/>
              </a:solidFill>
              <a:effectLst/>
              <a:latin typeface="Arial"/>
              <a:ea typeface="Calibri"/>
              <a:cs typeface="Times New Roman"/>
            </a:rPr>
            <a:t>Calculating crop dry matter biomass</a:t>
          </a:r>
          <a:r>
            <a:rPr lang="en-AU" sz="1400" b="1">
              <a:solidFill>
                <a:srgbClr val="333399"/>
              </a:solidFill>
              <a:effectLst/>
              <a:latin typeface="Arial"/>
              <a:ea typeface="Calibri"/>
              <a:cs typeface="Times New Roman"/>
            </a:rPr>
            <a:t>	</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The following method is for calculating crop dry matter biomass for use in the </a:t>
          </a:r>
          <a:r>
            <a:rPr lang="en-AU" sz="1100" b="0" i="1">
              <a:effectLst/>
              <a:latin typeface="Arial"/>
              <a:ea typeface="Calibri"/>
              <a:cs typeface="Times New Roman"/>
            </a:rPr>
            <a:t>Salvaging crops for fodder, grain or grazing – Costs and income calculator</a:t>
          </a:r>
          <a:r>
            <a:rPr lang="en-AU" sz="1100">
              <a:effectLst/>
              <a:latin typeface="Arial"/>
              <a:ea typeface="Calibri"/>
              <a:cs typeface="Times New Roman"/>
            </a:rPr>
            <a:t>.</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Print out the </a:t>
          </a:r>
          <a:r>
            <a:rPr lang="en-AU" sz="1100" b="1">
              <a:solidFill>
                <a:srgbClr val="333399"/>
              </a:solidFill>
              <a:effectLst/>
              <a:latin typeface="Arial"/>
              <a:ea typeface="Calibri"/>
              <a:cs typeface="Times New Roman"/>
            </a:rPr>
            <a:t>DM recording </a:t>
          </a:r>
          <a:r>
            <a:rPr lang="en-AU" sz="1100">
              <a:effectLst/>
              <a:latin typeface="Arial"/>
              <a:ea typeface="Calibri"/>
              <a:cs typeface="Times New Roman"/>
            </a:rPr>
            <a:t>sheet and follow steps 1 to 6 (below) to obtain the paddock sample data, and wet and dry weights. </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Follow the calculation instructions on the template (or steps 7–8) to calculate </a:t>
          </a:r>
          <a:r>
            <a:rPr lang="en-AU" sz="1100" b="1">
              <a:effectLst/>
              <a:latin typeface="Arial"/>
              <a:ea typeface="Calibri"/>
              <a:cs typeface="Times New Roman"/>
            </a:rPr>
            <a:t>Percentage dry matter</a:t>
          </a:r>
          <a:r>
            <a:rPr lang="en-AU" sz="1100">
              <a:effectLst/>
              <a:latin typeface="Arial"/>
              <a:ea typeface="Calibri"/>
              <a:cs typeface="Times New Roman"/>
            </a:rPr>
            <a:t> and </a:t>
          </a:r>
          <a:r>
            <a:rPr lang="en-AU" sz="1100" b="1">
              <a:effectLst/>
              <a:latin typeface="Arial"/>
              <a:ea typeface="Calibri"/>
              <a:cs typeface="Times New Roman"/>
            </a:rPr>
            <a:t>Total paddock dry matter</a:t>
          </a:r>
          <a:r>
            <a:rPr lang="en-AU" sz="1100">
              <a:effectLst/>
              <a:latin typeface="Arial"/>
              <a:ea typeface="Calibri"/>
              <a:cs typeface="Times New Roman"/>
            </a:rPr>
            <a:t>. </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OR</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Enter the values from the printed worksheet directly into the electronic </a:t>
          </a:r>
          <a:r>
            <a:rPr lang="en-AU" sz="1100" b="1">
              <a:solidFill>
                <a:srgbClr val="333399"/>
              </a:solidFill>
              <a:effectLst/>
              <a:latin typeface="Arial"/>
              <a:ea typeface="Calibri"/>
              <a:cs typeface="Times New Roman"/>
            </a:rPr>
            <a:t>DM recording </a:t>
          </a:r>
          <a:r>
            <a:rPr lang="en-AU" sz="1100">
              <a:effectLst/>
              <a:latin typeface="Arial"/>
              <a:ea typeface="Calibri"/>
              <a:cs typeface="Times New Roman"/>
            </a:rPr>
            <a:t>sheet to calculate paddock dry matter for you (light blue cells only). </a:t>
          </a:r>
        </a:p>
        <a:p>
          <a:pPr>
            <a:lnSpc>
              <a:spcPct val="115000"/>
            </a:lnSpc>
            <a:spcAft>
              <a:spcPts val="1000"/>
            </a:spcAft>
          </a:pPr>
          <a:endParaRPr lang="en-AU" sz="1100" b="1">
            <a:solidFill>
              <a:srgbClr val="333399"/>
            </a:solidFill>
            <a:effectLst/>
            <a:latin typeface="Arial"/>
            <a:ea typeface="Calibri"/>
            <a:cs typeface="Times New Roman"/>
          </a:endParaRPr>
        </a:p>
        <a:p>
          <a:pPr>
            <a:lnSpc>
              <a:spcPct val="115000"/>
            </a:lnSpc>
            <a:spcAft>
              <a:spcPts val="1000"/>
            </a:spcAft>
          </a:pPr>
          <a:r>
            <a:rPr lang="en-AU" sz="1200" b="1">
              <a:solidFill>
                <a:srgbClr val="333399"/>
              </a:solidFill>
              <a:effectLst/>
              <a:latin typeface="Arial"/>
              <a:ea typeface="Calibri"/>
              <a:cs typeface="Times New Roman"/>
            </a:rPr>
            <a:t>Step 1</a:t>
          </a:r>
          <a:r>
            <a:rPr lang="en-AU" sz="1400">
              <a:effectLst/>
              <a:latin typeface="Arial"/>
              <a:ea typeface="Calibri"/>
              <a:cs typeface="Times New Roman"/>
            </a:rPr>
            <a:t>	</a:t>
          </a:r>
          <a:r>
            <a:rPr lang="en-AU" sz="1100">
              <a:effectLst/>
              <a:latin typeface="Arial"/>
              <a:ea typeface="Calibri"/>
              <a:cs typeface="Times New Roman"/>
            </a:rPr>
            <a:t>Record crop row spacing in centimetres. </a:t>
          </a:r>
          <a:r>
            <a:rPr lang="en-AU" sz="1400" b="1">
              <a:effectLst/>
              <a:latin typeface="Arial"/>
              <a:ea typeface="Calibri"/>
              <a:cs typeface="Times New Roman"/>
            </a:rPr>
            <a:t>[a]</a:t>
          </a:r>
          <a:endParaRPr lang="en-AU" sz="1400">
            <a:effectLst/>
            <a:latin typeface="+mn-lt"/>
            <a:ea typeface="Calibri"/>
            <a:cs typeface="Times New Roman"/>
          </a:endParaRPr>
        </a:p>
        <a:p>
          <a:pPr>
            <a:lnSpc>
              <a:spcPct val="115000"/>
            </a:lnSpc>
            <a:spcAft>
              <a:spcPts val="1000"/>
            </a:spcAft>
          </a:pPr>
          <a:r>
            <a:rPr lang="en-AU" sz="1200" b="1">
              <a:solidFill>
                <a:srgbClr val="333399"/>
              </a:solidFill>
              <a:effectLst/>
              <a:latin typeface="Arial"/>
              <a:ea typeface="Calibri"/>
              <a:cs typeface="Times New Roman"/>
            </a:rPr>
            <a:t>Step 2</a:t>
          </a:r>
          <a:r>
            <a:rPr lang="en-AU" sz="1400">
              <a:effectLst/>
              <a:latin typeface="Arial"/>
              <a:ea typeface="Calibri"/>
              <a:cs typeface="Times New Roman"/>
            </a:rPr>
            <a:t>	</a:t>
          </a:r>
          <a:r>
            <a:rPr lang="en-AU" sz="1100">
              <a:effectLst/>
              <a:latin typeface="Arial"/>
              <a:ea typeface="Calibri"/>
              <a:cs typeface="Times New Roman"/>
            </a:rPr>
            <a:t>Place a 1 metre ruler along a plant row and cut the crop off at ground level.</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To get a representative estimate of crop dry matter biomass collect multiple samples randomly from across the paddock.</a:t>
          </a:r>
          <a:endParaRPr lang="en-AU" sz="1400">
            <a:effectLst/>
            <a:latin typeface="+mn-lt"/>
            <a:ea typeface="Calibri"/>
            <a:cs typeface="Times New Roman"/>
          </a:endParaRPr>
        </a:p>
        <a:p>
          <a:pPr>
            <a:lnSpc>
              <a:spcPct val="115000"/>
            </a:lnSpc>
            <a:spcAft>
              <a:spcPts val="1000"/>
            </a:spcAft>
          </a:pPr>
          <a:r>
            <a:rPr lang="en-AU" sz="1200" b="1">
              <a:solidFill>
                <a:srgbClr val="333399"/>
              </a:solidFill>
              <a:effectLst/>
              <a:latin typeface="Arial"/>
              <a:ea typeface="Calibri"/>
              <a:cs typeface="Times New Roman"/>
            </a:rPr>
            <a:t>Step 3</a:t>
          </a:r>
          <a:r>
            <a:rPr lang="en-AU" sz="1400">
              <a:effectLst/>
              <a:latin typeface="Arial"/>
              <a:ea typeface="Calibri"/>
              <a:cs typeface="Times New Roman"/>
            </a:rPr>
            <a:t>	</a:t>
          </a:r>
          <a:r>
            <a:rPr lang="en-AU" sz="1100">
              <a:effectLst/>
              <a:latin typeface="Arial"/>
              <a:ea typeface="Calibri"/>
              <a:cs typeface="Times New Roman"/>
            </a:rPr>
            <a:t>Weigh the fresh sample to get the total wet sample weight in grams. </a:t>
          </a:r>
          <a:r>
            <a:rPr lang="en-AU" sz="1400" b="1">
              <a:solidFill>
                <a:schemeClr val="dk1"/>
              </a:solidFill>
              <a:effectLst/>
              <a:latin typeface="Arial"/>
              <a:ea typeface="Calibri"/>
              <a:cs typeface="Times New Roman"/>
            </a:rPr>
            <a:t>[b]</a:t>
          </a:r>
        </a:p>
        <a:p>
          <a:pPr marL="914400" indent="-914400">
            <a:lnSpc>
              <a:spcPct val="115000"/>
            </a:lnSpc>
            <a:spcAft>
              <a:spcPts val="1000"/>
            </a:spcAft>
          </a:pPr>
          <a:r>
            <a:rPr lang="en-AU" sz="1200" b="1">
              <a:solidFill>
                <a:srgbClr val="333399"/>
              </a:solidFill>
              <a:effectLst/>
              <a:latin typeface="Arial"/>
              <a:ea typeface="Calibri"/>
              <a:cs typeface="Times New Roman"/>
            </a:rPr>
            <a:t>Step 4</a:t>
          </a:r>
          <a:r>
            <a:rPr lang="en-AU" sz="1400">
              <a:effectLst/>
              <a:latin typeface="Arial"/>
              <a:ea typeface="Calibri"/>
              <a:cs typeface="Times New Roman"/>
            </a:rPr>
            <a:t>	</a:t>
          </a:r>
          <a:r>
            <a:rPr lang="en-AU" sz="1100">
              <a:effectLst/>
              <a:latin typeface="Arial"/>
              <a:ea typeface="Calibri"/>
              <a:cs typeface="Times New Roman"/>
            </a:rPr>
            <a:t>Remove and weigh (grams) a representative subsample from Step 3 for drying in a microwave. </a:t>
          </a:r>
          <a:r>
            <a:rPr lang="en-AU" sz="1400" b="1">
              <a:solidFill>
                <a:schemeClr val="dk1"/>
              </a:solidFill>
              <a:effectLst/>
              <a:latin typeface="Arial"/>
              <a:ea typeface="Calibri"/>
              <a:cs typeface="Times New Roman"/>
            </a:rPr>
            <a:t>[c]</a:t>
          </a:r>
          <a:r>
            <a:rPr lang="en-AU" sz="1800">
              <a:effectLst/>
              <a:latin typeface="Arial"/>
              <a:ea typeface="Calibri"/>
              <a:cs typeface="Times New Roman"/>
            </a:rPr>
            <a:t> </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If the wet crop samples collected are consistent in crop growth, development and biomass, take one representative subsample to be dried. However if there is variation in crop growth and development, dry each paddock sub sample separately.</a:t>
          </a:r>
          <a:endParaRPr lang="en-AU" sz="1400">
            <a:effectLst/>
            <a:latin typeface="+mn-lt"/>
            <a:ea typeface="Calibri"/>
            <a:cs typeface="Times New Roman"/>
          </a:endParaRPr>
        </a:p>
        <a:p>
          <a:pPr>
            <a:lnSpc>
              <a:spcPct val="115000"/>
            </a:lnSpc>
            <a:spcAft>
              <a:spcPts val="1000"/>
            </a:spcAft>
          </a:pPr>
          <a:r>
            <a:rPr lang="en-AU" sz="1100">
              <a:effectLst/>
              <a:latin typeface="Arial"/>
              <a:ea typeface="Calibri"/>
              <a:cs typeface="Times New Roman"/>
            </a:rPr>
            <a:t>When assessing canola make sure you include leaf, stem and pod material. You might need to dry multiple subsamples of the different plant parts due to the bulkiness of the material and different drying times (stems will be slower to dry and take longer then leaf material). Chopping up the sample into small pieces with scissors help to obtain a good subsample for drying.</a:t>
          </a:r>
          <a:endParaRPr lang="en-AU" sz="1400">
            <a:effectLst/>
            <a:latin typeface="+mn-lt"/>
            <a:ea typeface="Calibri"/>
            <a:cs typeface="Times New Roman"/>
          </a:endParaRPr>
        </a:p>
        <a:p>
          <a:pPr marL="0" marR="0" lvl="0" indent="0" defTabSz="914400" eaLnBrk="1" fontAlgn="auto" latinLnBrk="0" hangingPunct="1">
            <a:lnSpc>
              <a:spcPct val="115000"/>
            </a:lnSpc>
            <a:spcBef>
              <a:spcPts val="0"/>
            </a:spcBef>
            <a:spcAft>
              <a:spcPts val="1000"/>
            </a:spcAft>
            <a:buClrTx/>
            <a:buSzTx/>
            <a:buFontTx/>
            <a:buNone/>
            <a:tabLst/>
            <a:defRPr/>
          </a:pPr>
          <a:endParaRPr kumimoji="0" lang="en-AU" sz="1200" b="1" i="0" u="none" strike="noStrike" kern="0" cap="none" spc="0" normalizeH="0" baseline="0" noProof="0">
            <a:ln>
              <a:noFill/>
            </a:ln>
            <a:solidFill>
              <a:srgbClr val="333399"/>
            </a:solidFill>
            <a:effectLst/>
            <a:uLnTx/>
            <a:uFillTx/>
            <a:latin typeface="Arial"/>
            <a:ea typeface="Calibri"/>
            <a:cs typeface="Times New Roman"/>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AU" sz="1200" b="1" i="0" u="none" strike="noStrike" kern="0" cap="none" spc="0" normalizeH="0" baseline="0" noProof="0">
              <a:ln>
                <a:noFill/>
              </a:ln>
              <a:solidFill>
                <a:srgbClr val="333399"/>
              </a:solidFill>
              <a:effectLst/>
              <a:uLnTx/>
              <a:uFillTx/>
              <a:latin typeface="Arial"/>
              <a:ea typeface="Calibri"/>
              <a:cs typeface="Times New Roman"/>
            </a:rPr>
            <a:t>Step 5</a:t>
          </a:r>
          <a:r>
            <a:rPr kumimoji="0" lang="en-AU" sz="1400" b="0" i="0" u="none" strike="noStrike" kern="0" cap="none" spc="0" normalizeH="0" baseline="0" noProof="0">
              <a:ln>
                <a:noFill/>
              </a:ln>
              <a:solidFill>
                <a:prstClr val="black"/>
              </a:solidFill>
              <a:effectLst/>
              <a:uLnTx/>
              <a:uFillTx/>
              <a:latin typeface="Arial"/>
              <a:ea typeface="Calibri"/>
              <a:cs typeface="Times New Roman"/>
            </a:rPr>
            <a:t>	</a:t>
          </a:r>
          <a:r>
            <a:rPr kumimoji="0" lang="en-AU" sz="1100" b="0" i="0" u="none" strike="noStrike" kern="0" cap="none" spc="0" normalizeH="0" baseline="0" noProof="0">
              <a:ln>
                <a:noFill/>
              </a:ln>
              <a:solidFill>
                <a:prstClr val="black"/>
              </a:solidFill>
              <a:effectLst/>
              <a:uLnTx/>
              <a:uFillTx/>
              <a:latin typeface="Arial"/>
              <a:ea typeface="Calibri"/>
              <a:cs typeface="Times New Roman"/>
            </a:rPr>
            <a:t>Dry the subsample in a microwave oven. </a:t>
          </a:r>
          <a:endParaRPr kumimoji="0" lang="en-AU" sz="1400" b="0" i="0" u="none" strike="noStrike" kern="0" cap="none" spc="0" normalizeH="0" baseline="0" noProof="0">
            <a:ln>
              <a:noFill/>
            </a:ln>
            <a:solidFill>
              <a:prstClr val="black"/>
            </a:solidFill>
            <a:effectLst/>
            <a:uLnTx/>
            <a:uFillTx/>
            <a:latin typeface="+mn-lt"/>
            <a:ea typeface="Calibri"/>
            <a:cs typeface="Times New Roman"/>
          </a:endParaRPr>
        </a:p>
        <a:p>
          <a:endParaRPr lang="en-AU" sz="1100"/>
        </a:p>
      </xdr:txBody>
    </xdr:sp>
    <xdr:clientData/>
  </xdr:twoCellAnchor>
  <xdr:twoCellAnchor editAs="oneCell">
    <xdr:from>
      <xdr:col>0</xdr:col>
      <xdr:colOff>15240</xdr:colOff>
      <xdr:row>0</xdr:row>
      <xdr:rowOff>7620</xdr:rowOff>
    </xdr:from>
    <xdr:to>
      <xdr:col>3</xdr:col>
      <xdr:colOff>213360</xdr:colOff>
      <xdr:row>4</xdr:row>
      <xdr:rowOff>30480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 y="7620"/>
          <a:ext cx="2026920" cy="754380"/>
        </a:xfrm>
        <a:prstGeom prst="rect">
          <a:avLst/>
        </a:prstGeom>
        <a:noFill/>
        <a:ln>
          <a:noFill/>
        </a:ln>
      </xdr:spPr>
    </xdr:pic>
    <xdr:clientData/>
  </xdr:twoCellAnchor>
  <xdr:twoCellAnchor>
    <xdr:from>
      <xdr:col>10</xdr:col>
      <xdr:colOff>25400</xdr:colOff>
      <xdr:row>0</xdr:row>
      <xdr:rowOff>33020</xdr:rowOff>
    </xdr:from>
    <xdr:to>
      <xdr:col>19</xdr:col>
      <xdr:colOff>596900</xdr:colOff>
      <xdr:row>53</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121400" y="33020"/>
          <a:ext cx="6057900" cy="9390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1000"/>
            </a:spcAft>
            <a:buClrTx/>
            <a:buSzTx/>
            <a:buFontTx/>
            <a:buNone/>
            <a:tabLst/>
            <a:defRPr/>
          </a:pPr>
          <a:r>
            <a:rPr kumimoji="0" lang="en-AU" sz="1200" b="1" i="0" u="none" strike="noStrike" kern="0" cap="none" spc="0" normalizeH="0" baseline="0" noProof="0">
              <a:ln>
                <a:noFill/>
              </a:ln>
              <a:solidFill>
                <a:srgbClr val="333399"/>
              </a:solidFill>
              <a:effectLst/>
              <a:uLnTx/>
              <a:uFillTx/>
              <a:latin typeface="Arial"/>
              <a:ea typeface="Calibri"/>
              <a:cs typeface="Times New Roman"/>
            </a:rPr>
            <a:t>Microwave oven drying method.</a:t>
          </a:r>
          <a:endParaRPr kumimoji="0" lang="en-AU" sz="1200" b="0" i="0" u="none" strike="noStrike" kern="0" cap="none" spc="0" normalizeH="0" baseline="0" noProof="0">
            <a:ln>
              <a:noFill/>
            </a:ln>
            <a:solidFill>
              <a:prstClr val="black"/>
            </a:solidFill>
            <a:effectLst/>
            <a:uLnTx/>
            <a:uFillTx/>
            <a:latin typeface="+mn-lt"/>
            <a:ea typeface="Calibri"/>
            <a:cs typeface="Times New Roman"/>
          </a:endParaRPr>
        </a:p>
        <a:p>
          <a:pPr marL="0" marR="0" lvl="0" indent="0" defTabSz="914400" eaLnBrk="1" fontAlgn="auto" latinLnBrk="0" hangingPunct="1">
            <a:lnSpc>
              <a:spcPct val="115000"/>
            </a:lnSpc>
            <a:spcBef>
              <a:spcPts val="0"/>
            </a:spcBef>
            <a:spcAft>
              <a:spcPts val="600"/>
            </a:spcAft>
            <a:buClrTx/>
            <a:buSzTx/>
            <a:buFontTx/>
            <a:buNone/>
            <a:tabLst/>
            <a:defRPr/>
          </a:pPr>
          <a:r>
            <a:rPr kumimoji="0" lang="en-AU" sz="1400" b="0" i="0" u="none" strike="noStrike" kern="0" cap="none" spc="0" normalizeH="0" baseline="0" noProof="0">
              <a:ln>
                <a:noFill/>
              </a:ln>
              <a:solidFill>
                <a:prstClr val="black"/>
              </a:solidFill>
              <a:effectLst/>
              <a:uLnTx/>
              <a:uFillTx/>
              <a:latin typeface="Arial"/>
              <a:ea typeface="Calibri"/>
              <a:cs typeface="Times New Roman"/>
            </a:rPr>
            <a:t> </a:t>
          </a:r>
          <a:r>
            <a:rPr kumimoji="0" lang="en-AU" sz="1100" b="0" i="0" u="none" strike="noStrike" kern="0" cap="none" spc="0" normalizeH="0" baseline="0" noProof="0">
              <a:ln>
                <a:noFill/>
              </a:ln>
              <a:solidFill>
                <a:prstClr val="black"/>
              </a:solidFill>
              <a:effectLst/>
              <a:uLnTx/>
              <a:uFillTx/>
              <a:latin typeface="Arial"/>
              <a:ea typeface="Calibri"/>
              <a:cs typeface="Times New Roman"/>
            </a:rPr>
            <a:t>You will need a standard kitchen microwave oven and digital scales that measure to units of one gram. Always read the microwave oven user manual in regard to drying food products and follow the directions.</a:t>
          </a:r>
          <a:endParaRPr kumimoji="0" lang="en-AU" sz="1400" b="0" i="0" u="none" strike="noStrike" kern="0" cap="none" spc="0" normalizeH="0" baseline="0" noProof="0">
            <a:ln>
              <a:noFill/>
            </a:ln>
            <a:solidFill>
              <a:prstClr val="black"/>
            </a:solidFill>
            <a:effectLst/>
            <a:uLnTx/>
            <a:uFillTx/>
            <a:latin typeface="+mn-lt"/>
            <a:ea typeface="Calibri"/>
            <a:cs typeface="Times New Roman"/>
          </a:endParaRPr>
        </a:p>
        <a:p>
          <a:pPr marL="800100" marR="0" lvl="1" indent="-342900" defTabSz="914400" eaLnBrk="1" fontAlgn="auto" latinLnBrk="0" hangingPunct="1">
            <a:lnSpc>
              <a:spcPct val="115000"/>
            </a:lnSpc>
            <a:spcBef>
              <a:spcPts val="0"/>
            </a:spcBef>
            <a:spcAft>
              <a:spcPts val="600"/>
            </a:spcAft>
            <a:buClrTx/>
            <a:buSzTx/>
            <a:buFont typeface="+mj-lt"/>
            <a:buAutoNum type="arabicPeriod"/>
            <a:tabLst/>
            <a:defRPr/>
          </a:pPr>
          <a:r>
            <a:rPr kumimoji="0" lang="en-AU" sz="1100" b="0" i="0" u="none" strike="noStrike" kern="0" cap="none" spc="0" normalizeH="0" baseline="0" noProof="0">
              <a:ln>
                <a:noFill/>
              </a:ln>
              <a:solidFill>
                <a:prstClr val="black"/>
              </a:solidFill>
              <a:effectLst/>
              <a:uLnTx/>
              <a:uFillTx/>
              <a:latin typeface="Arial"/>
              <a:ea typeface="Calibri"/>
              <a:cs typeface="Times New Roman"/>
            </a:rPr>
            <a:t> Cut the sample into 3–4 cm lengths to assist with drying. The size of the sample you will need should be equivalent to the amount that could be heaped onto a large dinner plate (i.e. about 100 to 150 grams). Tare the scales for a container suitable for use in a microwave (‘tare’ – set the scales to zero with the empty container on the scales).</a:t>
          </a:r>
        </a:p>
        <a:p>
          <a:pPr marL="800100" lvl="1" indent="-342900">
            <a:lnSpc>
              <a:spcPct val="115000"/>
            </a:lnSpc>
            <a:spcAft>
              <a:spcPts val="600"/>
            </a:spcAft>
            <a:buFont typeface="+mj-lt"/>
            <a:buAutoNum type="arabicPeriod"/>
          </a:pPr>
          <a:r>
            <a:rPr lang="en-AU" sz="1100">
              <a:effectLst/>
              <a:latin typeface="Arial"/>
              <a:ea typeface="Calibri"/>
              <a:cs typeface="Times New Roman"/>
            </a:rPr>
            <a:t>Weigh the sample of chopped forage in the tared container, measuring to the nearest gram. Record this as the initial wet weight. Spread the material evenly over the microwave safe container and place it in the oven with a glass three-quarters full of water. </a:t>
          </a:r>
          <a:r>
            <a:rPr lang="en-AU" sz="1100" b="0">
              <a:solidFill>
                <a:srgbClr val="FF0000"/>
              </a:solidFill>
              <a:effectLst/>
              <a:latin typeface="Arial"/>
              <a:ea typeface="Calibri"/>
              <a:cs typeface="Times New Roman"/>
            </a:rPr>
            <a:t>WARNING:</a:t>
          </a:r>
          <a:r>
            <a:rPr lang="en-AU" sz="1100" b="0" baseline="0">
              <a:solidFill>
                <a:schemeClr val="dk1"/>
              </a:solidFill>
              <a:effectLst/>
              <a:latin typeface="Arial"/>
              <a:ea typeface="Calibri"/>
              <a:cs typeface="Times New Roman"/>
            </a:rPr>
            <a:t> </a:t>
          </a:r>
          <a:r>
            <a:rPr lang="en-AU" sz="1100">
              <a:effectLst/>
              <a:latin typeface="Arial"/>
              <a:ea typeface="Calibri"/>
              <a:cs typeface="Times New Roman"/>
            </a:rPr>
            <a:t>The glass of water prevents the forage sample from charring or igniting as it becomes completely dry. The water level must be maintained during oven use and might have to be replaced with cold water if it starts to steam or boil to prevent absorption by the drying forage. </a:t>
          </a:r>
          <a:endParaRPr lang="en-AU" sz="1100">
            <a:effectLst/>
            <a:latin typeface="+mn-lt"/>
            <a:ea typeface="Calibri"/>
            <a:cs typeface="Times New Roman"/>
          </a:endParaRPr>
        </a:p>
        <a:p>
          <a:pPr marL="800100" lvl="1" indent="-342900">
            <a:lnSpc>
              <a:spcPct val="115000"/>
            </a:lnSpc>
            <a:spcAft>
              <a:spcPts val="600"/>
            </a:spcAft>
            <a:buFont typeface="+mj-lt"/>
            <a:buAutoNum type="arabicPeriod"/>
          </a:pPr>
          <a:r>
            <a:rPr lang="en-AU" sz="1100">
              <a:effectLst/>
              <a:latin typeface="Arial"/>
              <a:ea typeface="Calibri"/>
              <a:cs typeface="Times New Roman"/>
            </a:rPr>
            <a:t>Dry on full power (high) for intervals of 3 to 5 minutes (only if material is high in moisture) to begin with until the sample begins to feel dry (time depends on sample size, shortness of chop and initial dry matter content). Record the weight after each drying interval and repeat. Samples should be turned and 'fluffed-up' after each drying interval to improve evenness of drying. </a:t>
          </a:r>
          <a:endParaRPr lang="en-AU" sz="1100">
            <a:effectLst/>
            <a:latin typeface="+mn-lt"/>
            <a:ea typeface="Calibri"/>
            <a:cs typeface="Times New Roman"/>
          </a:endParaRPr>
        </a:p>
        <a:p>
          <a:pPr marL="800100" lvl="1" indent="-342900">
            <a:lnSpc>
              <a:spcPct val="115000"/>
            </a:lnSpc>
            <a:spcAft>
              <a:spcPts val="600"/>
            </a:spcAft>
            <a:buFont typeface="+mj-lt"/>
            <a:buAutoNum type="arabicPeriod"/>
          </a:pPr>
          <a:r>
            <a:rPr lang="en-AU" sz="1100">
              <a:effectLst/>
              <a:latin typeface="Arial"/>
              <a:ea typeface="Calibri"/>
              <a:cs typeface="Times New Roman"/>
            </a:rPr>
            <a:t>When the sample begins to feel dry, reduce the drying interval to between 30 seconds and one minute. </a:t>
          </a:r>
          <a:endParaRPr lang="en-AU" sz="1100">
            <a:effectLst/>
            <a:latin typeface="+mn-lt"/>
            <a:ea typeface="Calibri"/>
            <a:cs typeface="Times New Roman"/>
          </a:endParaRPr>
        </a:p>
        <a:p>
          <a:pPr marL="800100" lvl="1" indent="-342900">
            <a:lnSpc>
              <a:spcPct val="115000"/>
            </a:lnSpc>
            <a:spcAft>
              <a:spcPts val="600"/>
            </a:spcAft>
            <a:buFont typeface="+mj-lt"/>
            <a:buAutoNum type="arabicPeriod"/>
          </a:pPr>
          <a:r>
            <a:rPr lang="en-AU" sz="1100">
              <a:effectLst/>
              <a:latin typeface="Arial"/>
              <a:ea typeface="Calibri"/>
              <a:cs typeface="Times New Roman"/>
            </a:rPr>
            <a:t>When the weight of the sample does not change after two or three drying intervals it is 100% dry (to within 1–2% units). Record this final dry weight. If the sample chars or burns, use the previous recorded weight. Occasionally the weight may increase if the sample absorbs some moisture from the glass of water; use the last recorded weight if this happens.</a:t>
          </a:r>
          <a:endParaRPr lang="en-AU" sz="1100">
            <a:effectLst/>
            <a:latin typeface="+mn-lt"/>
            <a:ea typeface="Calibri"/>
            <a:cs typeface="Times New Roman"/>
          </a:endParaRPr>
        </a:p>
        <a:p>
          <a:pPr algn="l">
            <a:lnSpc>
              <a:spcPct val="115000"/>
            </a:lnSpc>
            <a:spcAft>
              <a:spcPts val="600"/>
            </a:spcAft>
          </a:pPr>
          <a:r>
            <a:rPr lang="en-AU" sz="1000">
              <a:effectLst/>
              <a:latin typeface="Arial"/>
              <a:ea typeface="Calibri"/>
              <a:cs typeface="Times New Roman"/>
            </a:rPr>
            <a:t>Microwave drying method source: </a:t>
          </a:r>
          <a:r>
            <a:rPr lang="en-AU" sz="1000" i="1">
              <a:effectLst/>
              <a:latin typeface="Arial"/>
              <a:ea typeface="Calibri"/>
              <a:cs typeface="Times New Roman"/>
            </a:rPr>
            <a:t>Topfodder Silage – Measuring the dry matter content of forages silage </a:t>
          </a:r>
          <a:r>
            <a:rPr lang="en-AU" sz="1000" i="0">
              <a:effectLst/>
              <a:latin typeface="Arial"/>
              <a:ea typeface="Calibri"/>
              <a:cs typeface="Times New Roman"/>
            </a:rPr>
            <a:t>Note 7</a:t>
          </a:r>
          <a:r>
            <a:rPr lang="en-AU" sz="1000" i="1">
              <a:effectLst/>
              <a:latin typeface="Arial"/>
              <a:ea typeface="Calibri"/>
              <a:cs typeface="Times New Roman"/>
            </a:rPr>
            <a:t>.</a:t>
          </a:r>
          <a:endParaRPr lang="en-AU" sz="1000">
            <a:effectLst/>
            <a:latin typeface="+mn-lt"/>
            <a:ea typeface="Calibri"/>
            <a:cs typeface="Times New Roman"/>
          </a:endParaRPr>
        </a:p>
        <a:p>
          <a:pPr>
            <a:lnSpc>
              <a:spcPct val="115000"/>
            </a:lnSpc>
            <a:spcAft>
              <a:spcPts val="1000"/>
            </a:spcAft>
          </a:pPr>
          <a:r>
            <a:rPr lang="en-AU" sz="1100" b="1">
              <a:solidFill>
                <a:srgbClr val="333399"/>
              </a:solidFill>
              <a:effectLst/>
              <a:latin typeface="Arial"/>
              <a:ea typeface="Calibri"/>
              <a:cs typeface="Times New Roman"/>
            </a:rPr>
            <a:t>Step 6</a:t>
          </a:r>
          <a:r>
            <a:rPr lang="en-AU" sz="1100">
              <a:effectLst/>
              <a:latin typeface="Arial"/>
              <a:ea typeface="Calibri"/>
              <a:cs typeface="Times New Roman"/>
            </a:rPr>
            <a:t>	Record the dry weight of the subsample in grams. </a:t>
          </a:r>
          <a:r>
            <a:rPr lang="en-AU" sz="1400" b="1">
              <a:solidFill>
                <a:schemeClr val="dk1"/>
              </a:solidFill>
              <a:effectLst/>
              <a:latin typeface="Arial"/>
              <a:ea typeface="Calibri"/>
              <a:cs typeface="Times New Roman"/>
            </a:rPr>
            <a:t>[d]</a:t>
          </a:r>
        </a:p>
        <a:p>
          <a:pPr>
            <a:lnSpc>
              <a:spcPct val="115000"/>
            </a:lnSpc>
            <a:spcAft>
              <a:spcPts val="1000"/>
            </a:spcAft>
          </a:pPr>
          <a:r>
            <a:rPr lang="en-AU" sz="1100" b="1">
              <a:solidFill>
                <a:srgbClr val="333399"/>
              </a:solidFill>
              <a:effectLst/>
              <a:latin typeface="Arial"/>
              <a:ea typeface="Calibri"/>
              <a:cs typeface="Times New Roman"/>
            </a:rPr>
            <a:t>Step 7</a:t>
          </a:r>
          <a:r>
            <a:rPr lang="en-AU" sz="1100">
              <a:effectLst/>
              <a:latin typeface="Arial"/>
              <a:ea typeface="Calibri"/>
              <a:cs typeface="Times New Roman"/>
            </a:rPr>
            <a:t>	Calculate the percentage dry matter. </a:t>
          </a:r>
          <a:r>
            <a:rPr lang="en-AU" sz="1400" b="1">
              <a:solidFill>
                <a:schemeClr val="dk1"/>
              </a:solidFill>
              <a:effectLst/>
              <a:latin typeface="Arial"/>
              <a:ea typeface="Calibri"/>
              <a:cs typeface="Times New Roman"/>
            </a:rPr>
            <a:t>[e]</a:t>
          </a:r>
        </a:p>
        <a:p>
          <a:pPr>
            <a:lnSpc>
              <a:spcPct val="115000"/>
            </a:lnSpc>
            <a:spcAft>
              <a:spcPts val="1000"/>
            </a:spcAft>
          </a:pPr>
          <a:r>
            <a:rPr lang="en-AU" sz="1100" b="1">
              <a:effectLst/>
              <a:latin typeface="Arial"/>
              <a:ea typeface="Calibri"/>
              <a:cs typeface="Times New Roman"/>
            </a:rPr>
            <a:t> Percentage (%) DM [e] = (Subsample dry weight [d]  ÷  Subsample wet weight [c])  ×  100</a:t>
          </a:r>
          <a:endParaRPr lang="en-AU" sz="1100">
            <a:effectLst/>
            <a:latin typeface="+mn-lt"/>
            <a:ea typeface="Calibri"/>
            <a:cs typeface="Times New Roman"/>
          </a:endParaRPr>
        </a:p>
        <a:p>
          <a:pPr>
            <a:lnSpc>
              <a:spcPct val="115000"/>
            </a:lnSpc>
            <a:spcAft>
              <a:spcPts val="1000"/>
            </a:spcAft>
          </a:pPr>
          <a:r>
            <a:rPr lang="en-AU" sz="1100" b="1">
              <a:solidFill>
                <a:srgbClr val="333399"/>
              </a:solidFill>
              <a:effectLst/>
              <a:latin typeface="Arial"/>
              <a:ea typeface="Calibri"/>
              <a:cs typeface="Times New Roman"/>
            </a:rPr>
            <a:t> Step 8</a:t>
          </a:r>
          <a:r>
            <a:rPr lang="en-AU" sz="1100">
              <a:effectLst/>
              <a:latin typeface="Arial"/>
              <a:ea typeface="Calibri"/>
              <a:cs typeface="Times New Roman"/>
            </a:rPr>
            <a:t>	Calculate the total dry matter per hectare (kg DM/ha).</a:t>
          </a:r>
          <a:endParaRPr lang="en-AU" sz="1100">
            <a:effectLst/>
            <a:latin typeface="+mn-lt"/>
            <a:ea typeface="Calibri"/>
            <a:cs typeface="Times New Roman"/>
          </a:endParaRPr>
        </a:p>
        <a:p>
          <a:pPr>
            <a:lnSpc>
              <a:spcPct val="115000"/>
            </a:lnSpc>
            <a:spcAft>
              <a:spcPts val="1000"/>
            </a:spcAft>
          </a:pPr>
          <a:r>
            <a:rPr lang="en-AU" sz="1100" b="1">
              <a:effectLst/>
              <a:latin typeface="Arial"/>
              <a:ea typeface="Calibri"/>
              <a:cs typeface="Times New Roman"/>
            </a:rPr>
            <a:t> kg DM/ha = (100 ÷ Row spacing [a])  ×  Total wet weight [b] × (% DM [e] ÷ 100)  ×  10</a:t>
          </a:r>
          <a:endParaRPr lang="en-AU" sz="1100">
            <a:effectLst/>
            <a:latin typeface="+mn-lt"/>
            <a:ea typeface="Calibri"/>
            <a:cs typeface="Times New Roman"/>
          </a:endParaRPr>
        </a:p>
        <a:p>
          <a:pPr>
            <a:lnSpc>
              <a:spcPct val="115000"/>
            </a:lnSpc>
            <a:spcAft>
              <a:spcPts val="1000"/>
            </a:spcAft>
          </a:pPr>
          <a:r>
            <a:rPr lang="en-AU" sz="1100" b="1">
              <a:solidFill>
                <a:srgbClr val="333399"/>
              </a:solidFill>
              <a:effectLst/>
              <a:latin typeface="Arial"/>
              <a:ea typeface="Calibri"/>
              <a:cs typeface="Times New Roman"/>
            </a:rPr>
            <a:t> Step 9</a:t>
          </a:r>
          <a:r>
            <a:rPr lang="en-AU" sz="1100">
              <a:effectLst/>
              <a:latin typeface="Arial"/>
              <a:ea typeface="Calibri"/>
              <a:cs typeface="Times New Roman"/>
            </a:rPr>
            <a:t>	Go to the </a:t>
          </a:r>
          <a:r>
            <a:rPr lang="en-AU" sz="1100" b="1">
              <a:solidFill>
                <a:srgbClr val="333399"/>
              </a:solidFill>
              <a:effectLst/>
              <a:latin typeface="Arial"/>
              <a:ea typeface="Calibri"/>
              <a:cs typeface="Times New Roman"/>
            </a:rPr>
            <a:t>Costs and income calculator sheet</a:t>
          </a:r>
          <a:r>
            <a:rPr lang="en-AU" sz="1100">
              <a:solidFill>
                <a:srgbClr val="333399"/>
              </a:solidFill>
              <a:effectLst/>
              <a:latin typeface="Arial"/>
              <a:ea typeface="Calibri"/>
              <a:cs typeface="Times New Roman"/>
            </a:rPr>
            <a:t> </a:t>
          </a:r>
          <a:r>
            <a:rPr lang="en-AU" sz="1100">
              <a:effectLst/>
              <a:latin typeface="Arial"/>
              <a:ea typeface="Calibri"/>
              <a:cs typeface="Times New Roman"/>
            </a:rPr>
            <a:t>insert the percentage dry 	matter (%) value into cell </a:t>
          </a:r>
          <a:r>
            <a:rPr lang="en-AU" sz="1200" b="1">
              <a:effectLst/>
              <a:latin typeface="Arial"/>
              <a:ea typeface="Calibri"/>
              <a:cs typeface="Times New Roman"/>
            </a:rPr>
            <a:t>C11</a:t>
          </a:r>
          <a:r>
            <a:rPr lang="en-AU" sz="1100">
              <a:effectLst/>
              <a:latin typeface="Arial"/>
              <a:ea typeface="Calibri"/>
              <a:cs typeface="Times New Roman"/>
            </a:rPr>
            <a:t>  and convert total dry matter into tonnes/ha and 	place value into cell </a:t>
          </a:r>
          <a:r>
            <a:rPr lang="en-AU" sz="1200" b="1">
              <a:effectLst/>
              <a:latin typeface="Arial"/>
              <a:ea typeface="Calibri"/>
              <a:cs typeface="Times New Roman"/>
            </a:rPr>
            <a:t>C10</a:t>
          </a:r>
          <a:r>
            <a:rPr lang="en-AU" sz="1100" b="1">
              <a:effectLst/>
              <a:latin typeface="Arial"/>
              <a:ea typeface="Calibri"/>
              <a:cs typeface="Times New Roman"/>
            </a:rPr>
            <a:t>.</a:t>
          </a:r>
          <a:endParaRPr kumimoji="0" lang="en-AU" sz="1400" b="0" i="0" u="none" strike="noStrike" kern="0" cap="none" spc="0" normalizeH="0" baseline="0" noProof="0">
            <a:ln>
              <a:noFill/>
            </a:ln>
            <a:solidFill>
              <a:prstClr val="black"/>
            </a:solidFill>
            <a:effectLst/>
            <a:uLnTx/>
            <a:uFillTx/>
            <a:latin typeface="+mn-lt"/>
            <a:ea typeface="Calibri"/>
            <a:cs typeface="Times New Roman"/>
          </a:endParaRPr>
        </a:p>
        <a:p>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388620</xdr:colOff>
      <xdr:row>0</xdr:row>
      <xdr:rowOff>0</xdr:rowOff>
    </xdr:from>
    <xdr:to>
      <xdr:col>7</xdr:col>
      <xdr:colOff>916940</xdr:colOff>
      <xdr:row>1</xdr:row>
      <xdr:rowOff>0</xdr:rowOff>
    </xdr:to>
    <xdr:pic>
      <xdr:nvPicPr>
        <xdr:cNvPr id="82958" name="Picture 2">
          <a:extLst>
            <a:ext uri="{FF2B5EF4-FFF2-40B4-BE49-F238E27FC236}">
              <a16:creationId xmlns:a16="http://schemas.microsoft.com/office/drawing/2014/main" id="{00000000-0008-0000-0200-00000E44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0420" y="0"/>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129540</xdr:colOff>
      <xdr:row>0</xdr:row>
      <xdr:rowOff>7620</xdr:rowOff>
    </xdr:from>
    <xdr:to>
      <xdr:col>23</xdr:col>
      <xdr:colOff>993140</xdr:colOff>
      <xdr:row>4</xdr:row>
      <xdr:rowOff>190500</xdr:rowOff>
    </xdr:to>
    <xdr:pic>
      <xdr:nvPicPr>
        <xdr:cNvPr id="3193" name="Picture 1">
          <a:extLst>
            <a:ext uri="{FF2B5EF4-FFF2-40B4-BE49-F238E27FC236}">
              <a16:creationId xmlns:a16="http://schemas.microsoft.com/office/drawing/2014/main" id="{00000000-0008-0000-0300-000079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7400" y="7620"/>
          <a:ext cx="4495800" cy="136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2</xdr:row>
      <xdr:rowOff>148590</xdr:rowOff>
    </xdr:from>
    <xdr:to>
      <xdr:col>16</xdr:col>
      <xdr:colOff>144780</xdr:colOff>
      <xdr:row>36</xdr:row>
      <xdr:rowOff>144780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pi.nsw.gov.au/climate-and-emergencies/droughthub/information-and-resources" TargetMode="External"/><Relationship Id="rId7" Type="http://schemas.openxmlformats.org/officeDocument/2006/relationships/printerSettings" Target="../printerSettings/printerSettings2.bin"/><Relationship Id="rId2" Type="http://schemas.openxmlformats.org/officeDocument/2006/relationships/hyperlink" Target="https://www.dpi.nsw.gov.au/" TargetMode="External"/><Relationship Id="rId1" Type="http://schemas.openxmlformats.org/officeDocument/2006/relationships/printerSettings" Target="../printerSettings/printerSettings1.bin"/><Relationship Id="rId6" Type="http://schemas.openxmlformats.org/officeDocument/2006/relationships/hyperlink" Target="https://grdc.com.au/resources-and-publications/all-publications/factsheets/2010/09/canola-hay-and-silage-factsheet" TargetMode="External"/><Relationship Id="rId5" Type="http://schemas.openxmlformats.org/officeDocument/2006/relationships/hyperlink" Target="https://grdc.com.au/" TargetMode="External"/><Relationship Id="rId4" Type="http://schemas.openxmlformats.org/officeDocument/2006/relationships/hyperlink" Target="https://www.dpi.nsw.gov.au/climate-and-emergencies/droughthub/information-and-resources/managing-drou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H20"/>
  <sheetViews>
    <sheetView zoomScaleNormal="100" zoomScaleSheetLayoutView="100" workbookViewId="0">
      <selection activeCell="A12" sqref="A12"/>
    </sheetView>
  </sheetViews>
  <sheetFormatPr defaultColWidth="8.85546875" defaultRowHeight="12.75" x14ac:dyDescent="0.2"/>
  <cols>
    <col min="1" max="1" width="87.7109375" style="154" customWidth="1"/>
    <col min="2" max="2" width="8.7109375" style="154" customWidth="1"/>
    <col min="3" max="16384" width="8.85546875" style="154"/>
  </cols>
  <sheetData>
    <row r="3" spans="1:8" ht="33" customHeight="1" x14ac:dyDescent="0.2"/>
    <row r="4" spans="1:8" ht="27.75" x14ac:dyDescent="0.2">
      <c r="A4" s="153" t="s">
        <v>116</v>
      </c>
    </row>
    <row r="5" spans="1:8" ht="27.75" x14ac:dyDescent="0.2">
      <c r="A5" s="153" t="s">
        <v>190</v>
      </c>
    </row>
    <row r="7" spans="1:8" ht="125.45" customHeight="1" x14ac:dyDescent="0.2">
      <c r="A7" s="237" t="s">
        <v>223</v>
      </c>
      <c r="B7" s="232"/>
    </row>
    <row r="8" spans="1:8" s="216" customFormat="1" ht="226.15" customHeight="1" x14ac:dyDescent="0.2">
      <c r="A8" s="237" t="s">
        <v>222</v>
      </c>
    </row>
    <row r="9" spans="1:8" s="216" customFormat="1" ht="36" customHeight="1" x14ac:dyDescent="0.2">
      <c r="A9" s="210" t="s">
        <v>177</v>
      </c>
    </row>
    <row r="10" spans="1:8" s="216" customFormat="1" ht="15.6" customHeight="1" x14ac:dyDescent="0.25">
      <c r="A10" s="238"/>
    </row>
    <row r="11" spans="1:8" s="216" customFormat="1" ht="28.5" x14ac:dyDescent="0.2">
      <c r="A11" s="210" t="s">
        <v>192</v>
      </c>
      <c r="B11" s="218"/>
      <c r="C11" s="218"/>
      <c r="D11" s="218"/>
      <c r="E11" s="218"/>
      <c r="F11" s="218"/>
      <c r="G11" s="218"/>
      <c r="H11" s="218"/>
    </row>
    <row r="12" spans="1:8" s="216" customFormat="1" ht="8.4499999999999993" customHeight="1" x14ac:dyDescent="0.2">
      <c r="A12" s="272"/>
    </row>
    <row r="13" spans="1:8" s="216" customFormat="1" ht="15.6" customHeight="1" x14ac:dyDescent="0.2">
      <c r="A13" s="270" t="s">
        <v>182</v>
      </c>
    </row>
    <row r="14" spans="1:8" s="209" customFormat="1" ht="15.6" customHeight="1" x14ac:dyDescent="0.2">
      <c r="A14" s="271" t="s">
        <v>176</v>
      </c>
    </row>
    <row r="15" spans="1:8" s="209" customFormat="1" ht="15.6" customHeight="1" x14ac:dyDescent="0.2">
      <c r="A15" s="271" t="s">
        <v>191</v>
      </c>
    </row>
    <row r="16" spans="1:8" ht="15.6" customHeight="1" x14ac:dyDescent="0.2">
      <c r="A16" s="270" t="s">
        <v>184</v>
      </c>
    </row>
    <row r="17" spans="1:1" s="209" customFormat="1" ht="15.6" customHeight="1" x14ac:dyDescent="0.2">
      <c r="A17" s="271" t="s">
        <v>183</v>
      </c>
    </row>
    <row r="18" spans="1:1" ht="16.899999999999999" customHeight="1" x14ac:dyDescent="0.2">
      <c r="A18" s="272"/>
    </row>
    <row r="19" spans="1:1" ht="15" x14ac:dyDescent="0.2">
      <c r="A19" s="217" t="s">
        <v>124</v>
      </c>
    </row>
    <row r="20" spans="1:1" ht="84" customHeight="1" x14ac:dyDescent="0.2">
      <c r="A20" s="214" t="s">
        <v>174</v>
      </c>
    </row>
  </sheetData>
  <sheetProtection password="CC21" sheet="1" objects="1" scenarios="1" selectLockedCells="1"/>
  <customSheetViews>
    <customSheetView guid="{B91870FC-B5B0-4E5E-AD1A-355FE5061E07}">
      <selection activeCell="A7" sqref="A7"/>
      <pageMargins left="0.7" right="0.7" top="0.75" bottom="0.75" header="0.3" footer="0.3"/>
      <pageSetup paperSize="9" orientation="portrait" horizontalDpi="300" verticalDpi="300" r:id="rId1"/>
    </customSheetView>
  </customSheetViews>
  <hyperlinks>
    <hyperlink ref="A13" r:id="rId2" xr:uid="{00000000-0004-0000-0000-000000000000}"/>
    <hyperlink ref="A15" r:id="rId3" xr:uid="{00000000-0004-0000-0000-000001000000}"/>
    <hyperlink ref="A14" r:id="rId4" xr:uid="{00000000-0004-0000-0000-000002000000}"/>
    <hyperlink ref="A16" r:id="rId5" xr:uid="{00000000-0004-0000-0000-000003000000}"/>
    <hyperlink ref="A17" r:id="rId6" xr:uid="{00000000-0004-0000-0000-000004000000}"/>
  </hyperlinks>
  <pageMargins left="0.7" right="0.7" top="0.75" bottom="0.75" header="0.3" footer="0.3"/>
  <pageSetup paperSize="9" orientation="portrait" horizontalDpi="300" verticalDpi="3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
  <sheetViews>
    <sheetView zoomScaleNormal="100" workbookViewId="0">
      <selection activeCell="W2" sqref="W2"/>
    </sheetView>
  </sheetViews>
  <sheetFormatPr defaultColWidth="8.85546875" defaultRowHeight="15" x14ac:dyDescent="0.25"/>
  <cols>
    <col min="1" max="20" width="8.85546875" style="269"/>
    <col min="21" max="21" width="2" style="269" customWidth="1"/>
    <col min="22" max="16384" width="8.85546875" style="269"/>
  </cols>
  <sheetData/>
  <sheetProtection password="CC21" sheet="1" objects="1" scenarios="1" selectLockedCells="1" selectUnlockedCells="1"/>
  <pageMargins left="0.59055118110236227" right="0.59055118110236227" top="0.59055118110236227" bottom="0.59055118110236227" header="0.31496062992125984" footer="0.31496062992125984"/>
  <pageSetup paperSize="9" fitToWidth="2" orientation="portrait" horizontalDpi="300" verticalDpi="300"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6"/>
  <sheetViews>
    <sheetView zoomScale="90" zoomScaleNormal="90" workbookViewId="0">
      <selection activeCell="E14" sqref="E14"/>
    </sheetView>
  </sheetViews>
  <sheetFormatPr defaultColWidth="8.85546875" defaultRowHeight="12.75" x14ac:dyDescent="0.2"/>
  <cols>
    <col min="1" max="1" width="42.5703125" style="154" customWidth="1"/>
    <col min="2" max="2" width="4.5703125" style="154" customWidth="1"/>
    <col min="3" max="3" width="15" style="154" customWidth="1"/>
    <col min="4" max="4" width="5.85546875" style="154" customWidth="1"/>
    <col min="5" max="8" width="17.28515625" style="154" customWidth="1"/>
    <col min="9" max="16384" width="8.85546875" style="154"/>
  </cols>
  <sheetData>
    <row r="1" spans="1:8" ht="42" customHeight="1" x14ac:dyDescent="0.2">
      <c r="A1" s="153" t="s">
        <v>214</v>
      </c>
      <c r="B1" s="153"/>
    </row>
    <row r="2" spans="1:8" ht="6.6" customHeight="1" thickBot="1" x14ac:dyDescent="0.25"/>
    <row r="3" spans="1:8" x14ac:dyDescent="0.2">
      <c r="A3" s="147" t="s">
        <v>126</v>
      </c>
      <c r="B3" s="148"/>
      <c r="C3" s="273" t="s">
        <v>137</v>
      </c>
      <c r="D3" s="274"/>
      <c r="E3" s="279" t="s">
        <v>127</v>
      </c>
      <c r="F3" s="279" t="s">
        <v>128</v>
      </c>
      <c r="G3" s="279" t="s">
        <v>129</v>
      </c>
      <c r="H3" s="279" t="s">
        <v>130</v>
      </c>
    </row>
    <row r="4" spans="1:8" x14ac:dyDescent="0.2">
      <c r="A4" s="149"/>
      <c r="B4" s="150"/>
      <c r="C4" s="275"/>
      <c r="D4" s="276"/>
      <c r="E4" s="280"/>
      <c r="F4" s="280"/>
      <c r="G4" s="280"/>
      <c r="H4" s="280"/>
    </row>
    <row r="5" spans="1:8" x14ac:dyDescent="0.2">
      <c r="A5" s="149"/>
      <c r="B5" s="150"/>
      <c r="C5" s="275"/>
      <c r="D5" s="276"/>
      <c r="E5" s="280"/>
      <c r="F5" s="280"/>
      <c r="G5" s="280"/>
      <c r="H5" s="280"/>
    </row>
    <row r="6" spans="1:8" x14ac:dyDescent="0.2">
      <c r="A6" s="213" t="s">
        <v>141</v>
      </c>
      <c r="B6" s="150"/>
      <c r="C6" s="275"/>
      <c r="D6" s="276"/>
      <c r="E6" s="280"/>
      <c r="F6" s="280"/>
      <c r="G6" s="280"/>
      <c r="H6" s="280"/>
    </row>
    <row r="7" spans="1:8" ht="18" customHeight="1" thickBot="1" x14ac:dyDescent="0.25">
      <c r="A7" s="212" t="s">
        <v>175</v>
      </c>
      <c r="B7" s="152"/>
      <c r="C7" s="277"/>
      <c r="D7" s="278"/>
      <c r="E7" s="281"/>
      <c r="F7" s="281"/>
      <c r="G7" s="281"/>
      <c r="H7" s="281"/>
    </row>
    <row r="8" spans="1:8" ht="15" x14ac:dyDescent="0.25">
      <c r="A8" s="155" t="s">
        <v>150</v>
      </c>
      <c r="B8" s="156" t="s">
        <v>132</v>
      </c>
      <c r="C8" s="286">
        <v>22</v>
      </c>
      <c r="D8" s="201"/>
      <c r="E8" s="282">
        <v>25</v>
      </c>
      <c r="F8" s="282"/>
      <c r="G8" s="282"/>
      <c r="H8" s="282"/>
    </row>
    <row r="9" spans="1:8" ht="13.5" thickBot="1" x14ac:dyDescent="0.25">
      <c r="A9" s="157"/>
      <c r="B9" s="158"/>
      <c r="C9" s="287"/>
      <c r="D9" s="202"/>
      <c r="E9" s="283"/>
      <c r="F9" s="283"/>
      <c r="G9" s="283"/>
      <c r="H9" s="283"/>
    </row>
    <row r="10" spans="1:8" ht="15" x14ac:dyDescent="0.25">
      <c r="A10" s="155" t="s">
        <v>151</v>
      </c>
      <c r="B10" s="159" t="s">
        <v>133</v>
      </c>
      <c r="C10" s="286">
        <v>232</v>
      </c>
      <c r="D10" s="203"/>
      <c r="E10" s="282">
        <v>451</v>
      </c>
      <c r="F10" s="282"/>
      <c r="G10" s="282"/>
      <c r="H10" s="282"/>
    </row>
    <row r="11" spans="1:8" ht="13.5" thickBot="1" x14ac:dyDescent="0.25">
      <c r="A11" s="160"/>
      <c r="B11" s="161"/>
      <c r="C11" s="288"/>
      <c r="D11" s="204"/>
      <c r="E11" s="283"/>
      <c r="F11" s="283"/>
      <c r="G11" s="283"/>
      <c r="H11" s="283"/>
    </row>
    <row r="12" spans="1:8" ht="15" x14ac:dyDescent="0.25">
      <c r="A12" s="162" t="s">
        <v>152</v>
      </c>
      <c r="B12" s="163" t="s">
        <v>134</v>
      </c>
      <c r="C12" s="286">
        <v>140</v>
      </c>
      <c r="D12" s="203"/>
      <c r="E12" s="282">
        <v>451</v>
      </c>
      <c r="F12" s="282"/>
      <c r="G12" s="282"/>
      <c r="H12" s="282"/>
    </row>
    <row r="13" spans="1:8" ht="13.5" thickBot="1" x14ac:dyDescent="0.25">
      <c r="A13" s="164" t="s">
        <v>131</v>
      </c>
      <c r="B13" s="165"/>
      <c r="C13" s="288"/>
      <c r="D13" s="204"/>
      <c r="E13" s="283"/>
      <c r="F13" s="283"/>
      <c r="G13" s="283"/>
      <c r="H13" s="283"/>
    </row>
    <row r="14" spans="1:8" ht="21.6" customHeight="1" x14ac:dyDescent="0.25">
      <c r="A14" s="155" t="s">
        <v>154</v>
      </c>
      <c r="B14" s="159" t="s">
        <v>135</v>
      </c>
      <c r="C14" s="286">
        <v>42</v>
      </c>
      <c r="D14" s="183" t="s">
        <v>147</v>
      </c>
      <c r="E14" s="239">
        <v>150</v>
      </c>
      <c r="F14" s="240"/>
      <c r="G14" s="240"/>
      <c r="H14" s="240"/>
    </row>
    <row r="15" spans="1:8" ht="21.6" customHeight="1" x14ac:dyDescent="0.2">
      <c r="A15" s="211" t="s">
        <v>169</v>
      </c>
      <c r="B15" s="161"/>
      <c r="C15" s="295"/>
      <c r="D15" s="184" t="s">
        <v>148</v>
      </c>
      <c r="E15" s="241"/>
      <c r="F15" s="242"/>
      <c r="G15" s="242"/>
      <c r="H15" s="242"/>
    </row>
    <row r="16" spans="1:8" ht="21.6" customHeight="1" x14ac:dyDescent="0.2">
      <c r="A16" s="166" t="s">
        <v>156</v>
      </c>
      <c r="B16" s="161"/>
      <c r="C16" s="295"/>
      <c r="D16" s="184" t="s">
        <v>155</v>
      </c>
      <c r="E16" s="241"/>
      <c r="F16" s="242"/>
      <c r="G16" s="242"/>
      <c r="H16" s="242"/>
    </row>
    <row r="17" spans="1:8" ht="21.6" customHeight="1" thickBot="1" x14ac:dyDescent="0.25">
      <c r="A17" s="166"/>
      <c r="B17" s="161"/>
      <c r="C17" s="295"/>
      <c r="D17" s="184" t="s">
        <v>149</v>
      </c>
      <c r="E17" s="243"/>
      <c r="F17" s="242"/>
      <c r="G17" s="242"/>
      <c r="H17" s="242"/>
    </row>
    <row r="18" spans="1:8" ht="23.45" customHeight="1" thickBot="1" x14ac:dyDescent="0.25">
      <c r="A18" s="167"/>
      <c r="C18" s="288"/>
      <c r="D18" s="185" t="s">
        <v>146</v>
      </c>
      <c r="E18" s="205">
        <f>IF(MIN(E14:E17)&lt;=0,"",(MIN(E14:E17)))</f>
        <v>150</v>
      </c>
      <c r="F18" s="205" t="str">
        <f t="shared" ref="F18:H18" si="0">IF(MIN(F14:F17)&lt;=0,"",(MIN(F14:F17)))</f>
        <v/>
      </c>
      <c r="G18" s="205" t="str">
        <f t="shared" si="0"/>
        <v/>
      </c>
      <c r="H18" s="205" t="str">
        <f t="shared" si="0"/>
        <v/>
      </c>
    </row>
    <row r="19" spans="1:8" ht="15" x14ac:dyDescent="0.25">
      <c r="A19" s="155" t="s">
        <v>157</v>
      </c>
      <c r="B19" s="168" t="s">
        <v>136</v>
      </c>
      <c r="C19" s="296" t="s">
        <v>170</v>
      </c>
      <c r="D19" s="292"/>
      <c r="E19" s="289">
        <f>IFERROR((E18/E12)*100,"")</f>
        <v>33.259423503325941</v>
      </c>
      <c r="F19" s="289" t="str">
        <f t="shared" ref="F19:H19" si="1">IFERROR((F18/F12)*100,"")</f>
        <v/>
      </c>
      <c r="G19" s="289" t="str">
        <f t="shared" si="1"/>
        <v/>
      </c>
      <c r="H19" s="289" t="str">
        <f t="shared" si="1"/>
        <v/>
      </c>
    </row>
    <row r="20" spans="1:8" ht="15" x14ac:dyDescent="0.25">
      <c r="A20" s="169" t="s">
        <v>163</v>
      </c>
      <c r="B20" s="170"/>
      <c r="C20" s="297" t="s">
        <v>139</v>
      </c>
      <c r="D20" s="294"/>
      <c r="E20" s="290"/>
      <c r="F20" s="290"/>
      <c r="G20" s="290"/>
      <c r="H20" s="290"/>
    </row>
    <row r="21" spans="1:8" ht="15" x14ac:dyDescent="0.25">
      <c r="A21" s="169" t="s">
        <v>153</v>
      </c>
      <c r="B21" s="170"/>
      <c r="C21" s="297"/>
      <c r="D21" s="294"/>
      <c r="E21" s="290"/>
      <c r="F21" s="290"/>
      <c r="G21" s="290"/>
      <c r="H21" s="290"/>
    </row>
    <row r="22" spans="1:8" ht="14.45" customHeight="1" thickBot="1" x14ac:dyDescent="0.3">
      <c r="A22" s="196" t="s">
        <v>168</v>
      </c>
      <c r="B22" s="171"/>
      <c r="C22" s="197">
        <v>30</v>
      </c>
      <c r="D22" s="198"/>
      <c r="E22" s="298"/>
      <c r="F22" s="298"/>
      <c r="G22" s="298"/>
      <c r="H22" s="298"/>
    </row>
    <row r="23" spans="1:8" x14ac:dyDescent="0.2">
      <c r="A23" s="155" t="s">
        <v>158</v>
      </c>
      <c r="B23" s="172"/>
      <c r="C23" s="291" t="s">
        <v>161</v>
      </c>
      <c r="D23" s="292"/>
      <c r="E23" s="289">
        <f>IFERROR((100/E8)*E10*10,"")</f>
        <v>18040</v>
      </c>
      <c r="F23" s="289" t="str">
        <f t="shared" ref="F23:H23" si="2">IFERROR((100/F8)*F10*10,"")</f>
        <v/>
      </c>
      <c r="G23" s="289" t="str">
        <f t="shared" si="2"/>
        <v/>
      </c>
      <c r="H23" s="289" t="str">
        <f t="shared" si="2"/>
        <v/>
      </c>
    </row>
    <row r="24" spans="1:8" ht="15" x14ac:dyDescent="0.2">
      <c r="A24" s="151" t="s">
        <v>160</v>
      </c>
      <c r="B24" s="173"/>
      <c r="C24" s="293" t="s">
        <v>171</v>
      </c>
      <c r="D24" s="294"/>
      <c r="E24" s="290"/>
      <c r="F24" s="290"/>
      <c r="G24" s="290"/>
      <c r="H24" s="290"/>
    </row>
    <row r="25" spans="1:8" ht="13.5" thickBot="1" x14ac:dyDescent="0.25">
      <c r="A25" s="174"/>
      <c r="B25" s="175"/>
      <c r="C25" s="199">
        <f>(100/C8)*C10*10</f>
        <v>10545.454545454548</v>
      </c>
      <c r="D25" s="175"/>
      <c r="E25" s="298"/>
      <c r="F25" s="298"/>
      <c r="G25" s="298"/>
      <c r="H25" s="298"/>
    </row>
    <row r="26" spans="1:8" x14ac:dyDescent="0.2">
      <c r="A26" s="155" t="s">
        <v>159</v>
      </c>
      <c r="B26" s="172"/>
      <c r="C26" s="291" t="s">
        <v>162</v>
      </c>
      <c r="D26" s="292"/>
      <c r="E26" s="289">
        <f>IFERROR(((100/E8)*E10*(E19/100)*10),"")</f>
        <v>6000</v>
      </c>
      <c r="F26" s="289" t="str">
        <f t="shared" ref="F26:H26" si="3">IFERROR(((100/F8)*F10*(F19/100)*10),"")</f>
        <v/>
      </c>
      <c r="G26" s="289" t="str">
        <f t="shared" si="3"/>
        <v/>
      </c>
      <c r="H26" s="289" t="str">
        <f t="shared" si="3"/>
        <v/>
      </c>
    </row>
    <row r="27" spans="1:8" x14ac:dyDescent="0.2">
      <c r="A27" s="169"/>
      <c r="B27" s="176"/>
      <c r="C27" s="293" t="s">
        <v>172</v>
      </c>
      <c r="D27" s="294"/>
      <c r="E27" s="290"/>
      <c r="F27" s="290"/>
      <c r="G27" s="290"/>
      <c r="H27" s="290"/>
    </row>
    <row r="28" spans="1:8" ht="15" x14ac:dyDescent="0.25">
      <c r="A28" s="177" t="s">
        <v>164</v>
      </c>
      <c r="B28" s="176"/>
      <c r="C28" s="293" t="s">
        <v>173</v>
      </c>
      <c r="D28" s="294"/>
      <c r="E28" s="290"/>
      <c r="F28" s="290"/>
      <c r="G28" s="290"/>
      <c r="H28" s="290"/>
    </row>
    <row r="29" spans="1:8" ht="15" x14ac:dyDescent="0.25">
      <c r="A29" s="177" t="s">
        <v>165</v>
      </c>
      <c r="B29" s="176"/>
      <c r="C29" s="297" t="s">
        <v>138</v>
      </c>
      <c r="D29" s="294"/>
      <c r="E29" s="290"/>
      <c r="F29" s="290"/>
      <c r="G29" s="290"/>
      <c r="H29" s="290"/>
    </row>
    <row r="30" spans="1:8" ht="13.5" thickBot="1" x14ac:dyDescent="0.25">
      <c r="A30" s="178"/>
      <c r="B30" s="175"/>
      <c r="C30" s="200">
        <f>(100/C8)*C10*(C22/100)*10</f>
        <v>3163.6363636363644</v>
      </c>
      <c r="D30" s="198"/>
      <c r="E30" s="187" t="s">
        <v>23</v>
      </c>
      <c r="F30" s="188" t="s">
        <v>23</v>
      </c>
      <c r="G30" s="188" t="s">
        <v>23</v>
      </c>
      <c r="H30" s="188" t="s">
        <v>23</v>
      </c>
    </row>
    <row r="31" spans="1:8" ht="15.75" x14ac:dyDescent="0.25">
      <c r="A31" s="179" t="s">
        <v>194</v>
      </c>
      <c r="B31" s="180"/>
      <c r="D31" s="215" t="s">
        <v>181</v>
      </c>
      <c r="E31" s="284">
        <f>IFERROR((AVERAGE(E26:H30))/1000,"")</f>
        <v>6</v>
      </c>
    </row>
    <row r="32" spans="1:8" ht="15.75" thickBot="1" x14ac:dyDescent="0.3">
      <c r="A32" s="181" t="s">
        <v>193</v>
      </c>
      <c r="B32" s="182"/>
      <c r="C32" s="158"/>
      <c r="D32" s="186"/>
      <c r="E32" s="285"/>
    </row>
    <row r="33" spans="1:5" ht="15" x14ac:dyDescent="0.2">
      <c r="A33" s="206"/>
      <c r="B33" s="207"/>
      <c r="D33" s="208"/>
      <c r="E33" s="208"/>
    </row>
    <row r="34" spans="1:5" x14ac:dyDescent="0.2">
      <c r="A34" s="206"/>
    </row>
    <row r="36" spans="1:5" x14ac:dyDescent="0.2">
      <c r="C36" s="206"/>
      <c r="D36" s="206"/>
    </row>
  </sheetData>
  <sheetProtection password="CC21" sheet="1" objects="1" scenarios="1" selectLockedCells="1"/>
  <customSheetViews>
    <customSheetView guid="{B91870FC-B5B0-4E5E-AD1A-355FE5061E07}" scale="90">
      <selection activeCell="E14" sqref="E14"/>
      <pageMargins left="0.59055118110236227" right="0.59055118110236227" top="0.59055118110236227" bottom="0.59055118110236227" header="0" footer="0.31496062992125984"/>
      <pageSetup paperSize="9" scale="105" orientation="landscape" horizontalDpi="300" verticalDpi="300" r:id="rId1"/>
      <headerFooter>
        <oddHeader>&amp;C&amp;"Arial,Bold"&amp;14&amp;K333399Dry matter record sheet</oddHeader>
      </headerFooter>
    </customSheetView>
  </customSheetViews>
  <mergeCells count="43">
    <mergeCell ref="H26:H29"/>
    <mergeCell ref="C28:D28"/>
    <mergeCell ref="C29:D29"/>
    <mergeCell ref="E19:E22"/>
    <mergeCell ref="H19:H22"/>
    <mergeCell ref="E23:E25"/>
    <mergeCell ref="F23:F25"/>
    <mergeCell ref="G23:G25"/>
    <mergeCell ref="H23:H25"/>
    <mergeCell ref="F19:F22"/>
    <mergeCell ref="G19:G22"/>
    <mergeCell ref="F26:F29"/>
    <mergeCell ref="G26:G29"/>
    <mergeCell ref="E10:E11"/>
    <mergeCell ref="E12:E13"/>
    <mergeCell ref="E31:E32"/>
    <mergeCell ref="C8:C9"/>
    <mergeCell ref="C10:C11"/>
    <mergeCell ref="C12:C13"/>
    <mergeCell ref="E26:E29"/>
    <mergeCell ref="C23:D23"/>
    <mergeCell ref="C24:D24"/>
    <mergeCell ref="C26:D26"/>
    <mergeCell ref="C27:D27"/>
    <mergeCell ref="C14:C18"/>
    <mergeCell ref="C19:D19"/>
    <mergeCell ref="C20:D20"/>
    <mergeCell ref="C21:D21"/>
    <mergeCell ref="F10:F11"/>
    <mergeCell ref="G10:G11"/>
    <mergeCell ref="H10:H11"/>
    <mergeCell ref="F12:F13"/>
    <mergeCell ref="G12:G13"/>
    <mergeCell ref="H12:H13"/>
    <mergeCell ref="C3:D7"/>
    <mergeCell ref="F3:F7"/>
    <mergeCell ref="G3:G7"/>
    <mergeCell ref="H3:H7"/>
    <mergeCell ref="E8:E9"/>
    <mergeCell ref="H8:H9"/>
    <mergeCell ref="F8:F9"/>
    <mergeCell ref="G8:G9"/>
    <mergeCell ref="E3:E7"/>
  </mergeCells>
  <pageMargins left="0.59055118110236227" right="0.59055118110236227" top="0.70833333333333337" bottom="0.59055118110236227" header="0" footer="0.31496062992125984"/>
  <pageSetup paperSize="9" orientation="landscape" horizontalDpi="300" verticalDpi="300" r:id="rId2"/>
  <headerFooter>
    <oddHeader>&amp;C&amp;"Arial,Bold"&amp;14&amp;K333399
Dry matter record sheet</oddHead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70C0"/>
    <pageSetUpPr fitToPage="1"/>
  </sheetPr>
  <dimension ref="A1:AD83"/>
  <sheetViews>
    <sheetView showGridLines="0" tabSelected="1" zoomScale="154" zoomScaleNormal="154" workbookViewId="0">
      <selection activeCell="C49" sqref="C49"/>
    </sheetView>
  </sheetViews>
  <sheetFormatPr defaultColWidth="9.140625" defaultRowHeight="12.75" x14ac:dyDescent="0.2"/>
  <cols>
    <col min="1" max="1" width="6.42578125" style="2" customWidth="1"/>
    <col min="2" max="2" width="28.42578125" style="2" customWidth="1"/>
    <col min="3" max="3" width="12.28515625" style="2" customWidth="1"/>
    <col min="4" max="4" width="3" style="2" bestFit="1" customWidth="1"/>
    <col min="5" max="5" width="12.28515625" style="2" customWidth="1"/>
    <col min="6" max="6" width="9.140625" style="2"/>
    <col min="7" max="7" width="0.85546875" style="2" customWidth="1"/>
    <col min="8" max="8" width="19.85546875" style="6" customWidth="1"/>
    <col min="9" max="9" width="7.140625" style="6" customWidth="1"/>
    <col min="10" max="10" width="12.28515625" style="2" customWidth="1"/>
    <col min="11" max="11" width="3" style="2" customWidth="1"/>
    <col min="12" max="12" width="12.28515625" style="2" customWidth="1"/>
    <col min="13" max="13" width="9" style="2" customWidth="1"/>
    <col min="14" max="14" width="1" style="6" customWidth="1"/>
    <col min="15" max="15" width="5.140625" style="6" customWidth="1"/>
    <col min="16" max="16" width="27.85546875" style="6" customWidth="1"/>
    <col min="17" max="17" width="3.42578125" style="6" customWidth="1"/>
    <col min="18" max="18" width="16.42578125" style="4" customWidth="1"/>
    <col min="19" max="19" width="4.28515625" style="4" customWidth="1"/>
    <col min="20" max="21" width="16.42578125" style="4" customWidth="1"/>
    <col min="22" max="22" width="3.7109375" style="4" customWidth="1"/>
    <col min="23" max="23" width="16.42578125" style="2" customWidth="1"/>
    <col min="24" max="24" width="19.7109375" style="2" customWidth="1"/>
    <col min="25" max="28" width="9.140625" style="2"/>
    <col min="29" max="29" width="0" style="2" hidden="1" customWidth="1"/>
    <col min="30" max="30" width="9.140625" style="2" hidden="1" customWidth="1"/>
    <col min="31" max="31" width="0" style="2" hidden="1" customWidth="1"/>
    <col min="32" max="16384" width="9.140625" style="2"/>
  </cols>
  <sheetData>
    <row r="1" spans="1:30" s="83" customFormat="1" ht="30" x14ac:dyDescent="0.2">
      <c r="A1" s="92" t="s">
        <v>116</v>
      </c>
      <c r="H1" s="84"/>
      <c r="I1" s="84"/>
      <c r="N1" s="84"/>
      <c r="O1" s="84"/>
      <c r="P1" s="84"/>
      <c r="Q1" s="84"/>
      <c r="R1" s="85"/>
      <c r="S1" s="85"/>
      <c r="T1" s="85"/>
      <c r="U1" s="86"/>
      <c r="V1" s="86"/>
      <c r="W1" s="86"/>
      <c r="AD1" s="99" t="s">
        <v>119</v>
      </c>
    </row>
    <row r="2" spans="1:30" s="83" customFormat="1" ht="30" x14ac:dyDescent="0.2">
      <c r="A2" s="92" t="s">
        <v>115</v>
      </c>
      <c r="I2" s="84"/>
      <c r="N2" s="84"/>
      <c r="O2" s="84"/>
      <c r="P2" s="84"/>
      <c r="Q2" s="84"/>
      <c r="R2" s="85"/>
      <c r="S2" s="85"/>
      <c r="T2" s="85"/>
      <c r="U2" s="86"/>
      <c r="V2" s="86"/>
      <c r="W2" s="86"/>
      <c r="AD2" s="99" t="s">
        <v>121</v>
      </c>
    </row>
    <row r="3" spans="1:30" s="83" customFormat="1" ht="15.75" customHeight="1" x14ac:dyDescent="0.2">
      <c r="F3" s="82"/>
      <c r="G3" s="82"/>
      <c r="H3" s="82"/>
      <c r="I3" s="82"/>
      <c r="J3" s="82"/>
      <c r="K3" s="82"/>
      <c r="L3" s="82"/>
      <c r="M3" s="82"/>
      <c r="N3" s="82"/>
      <c r="O3" s="82"/>
      <c r="P3" s="82"/>
      <c r="Q3" s="84"/>
      <c r="R3" s="88"/>
      <c r="S3" s="88"/>
      <c r="T3" s="88"/>
      <c r="U3" s="88"/>
      <c r="V3" s="88"/>
      <c r="W3" s="88"/>
      <c r="X3" s="88"/>
      <c r="Y3" s="88"/>
      <c r="Z3" s="88"/>
      <c r="AA3" s="99"/>
      <c r="AB3" s="88"/>
      <c r="AC3" s="88"/>
      <c r="AD3" s="99" t="s">
        <v>120</v>
      </c>
    </row>
    <row r="4" spans="1:30" s="83" customFormat="1" ht="17.45" customHeight="1" x14ac:dyDescent="0.2">
      <c r="A4" s="332" t="s">
        <v>140</v>
      </c>
      <c r="B4" s="333"/>
      <c r="C4" s="333"/>
      <c r="D4" s="333"/>
      <c r="E4" s="333"/>
      <c r="F4" s="333"/>
      <c r="G4" s="333"/>
      <c r="H4" s="333"/>
      <c r="I4" s="333"/>
      <c r="J4" s="333"/>
      <c r="K4" s="333"/>
      <c r="L4" s="333"/>
      <c r="M4" s="333"/>
      <c r="N4" s="333"/>
      <c r="O4" s="333"/>
      <c r="P4" s="333"/>
      <c r="R4" s="87"/>
      <c r="S4" s="87"/>
      <c r="T4" s="87"/>
      <c r="AA4" s="99"/>
      <c r="AD4" s="99" t="s">
        <v>118</v>
      </c>
    </row>
    <row r="5" spans="1:30" s="83" customFormat="1" ht="17.45" customHeight="1" x14ac:dyDescent="0.2">
      <c r="A5" s="95" t="s">
        <v>195</v>
      </c>
      <c r="B5" s="93"/>
      <c r="C5" s="93"/>
      <c r="D5" s="93"/>
      <c r="E5" s="93"/>
      <c r="F5" s="94"/>
      <c r="G5" s="94"/>
      <c r="H5" s="93"/>
      <c r="I5" s="93"/>
      <c r="J5" s="95"/>
      <c r="K5" s="93"/>
      <c r="L5" s="93"/>
      <c r="M5" s="93"/>
      <c r="N5" s="93"/>
      <c r="O5" s="93"/>
      <c r="P5" s="93"/>
      <c r="Q5" s="88"/>
      <c r="R5" s="88"/>
      <c r="S5" s="88"/>
      <c r="T5" s="88"/>
      <c r="U5" s="88"/>
      <c r="V5" s="88"/>
      <c r="W5" s="88"/>
    </row>
    <row r="6" spans="1:30" s="89" customFormat="1" ht="17.45" customHeight="1" x14ac:dyDescent="0.2">
      <c r="A6" s="93" t="s">
        <v>117</v>
      </c>
      <c r="B6" s="93"/>
      <c r="C6" s="93"/>
      <c r="D6" s="93"/>
      <c r="E6" s="93"/>
      <c r="F6" s="93"/>
      <c r="G6" s="93"/>
      <c r="H6" s="93"/>
      <c r="I6" s="93"/>
      <c r="J6" s="93"/>
      <c r="K6" s="93"/>
      <c r="L6" s="93"/>
      <c r="M6" s="93"/>
      <c r="N6" s="93"/>
      <c r="O6" s="93"/>
      <c r="P6" s="93"/>
      <c r="Q6" s="84"/>
      <c r="R6" s="85"/>
      <c r="S6" s="85"/>
      <c r="T6" s="85"/>
      <c r="U6" s="85"/>
      <c r="V6" s="85"/>
      <c r="W6" s="83"/>
    </row>
    <row r="7" spans="1:30" x14ac:dyDescent="0.2">
      <c r="A7" s="4"/>
      <c r="B7" s="4"/>
      <c r="C7" s="4"/>
      <c r="D7" s="4"/>
      <c r="E7" s="4"/>
      <c r="F7" s="4"/>
      <c r="G7" s="4"/>
      <c r="H7" s="3"/>
      <c r="I7" s="3"/>
      <c r="J7" s="3"/>
      <c r="K7" s="3"/>
      <c r="L7" s="3"/>
      <c r="M7" s="3"/>
      <c r="N7" s="3"/>
      <c r="O7" s="3"/>
      <c r="P7" s="3"/>
      <c r="Q7" s="3"/>
      <c r="R7" s="3"/>
      <c r="S7" s="3"/>
      <c r="T7" s="3"/>
      <c r="U7" s="3"/>
      <c r="V7" s="3"/>
      <c r="W7" s="3"/>
      <c r="AD7" s="99" t="s">
        <v>55</v>
      </c>
    </row>
    <row r="8" spans="1:30" ht="20.45" customHeight="1" x14ac:dyDescent="0.25">
      <c r="B8" s="96" t="s">
        <v>196</v>
      </c>
      <c r="C8" s="323"/>
      <c r="D8" s="312"/>
      <c r="E8" s="312"/>
      <c r="G8" s="4"/>
      <c r="H8" s="32"/>
      <c r="I8" s="96" t="s">
        <v>197</v>
      </c>
      <c r="J8" s="311"/>
      <c r="K8" s="312"/>
      <c r="L8" s="312"/>
      <c r="M8" s="4"/>
      <c r="N8" s="5"/>
      <c r="O8" s="5"/>
      <c r="P8" s="96" t="s">
        <v>143</v>
      </c>
      <c r="Q8" s="311"/>
      <c r="R8" s="312"/>
      <c r="S8" s="312"/>
      <c r="T8" s="98"/>
      <c r="U8" s="235"/>
      <c r="AD8" s="87" t="s">
        <v>98</v>
      </c>
    </row>
    <row r="9" spans="1:30" ht="13.5" thickBot="1" x14ac:dyDescent="0.25">
      <c r="A9" s="4"/>
      <c r="B9" s="4"/>
      <c r="C9" s="4"/>
      <c r="D9" s="4"/>
      <c r="E9" s="4"/>
      <c r="F9" s="4"/>
      <c r="G9" s="4"/>
      <c r="H9" s="4"/>
      <c r="I9" s="4"/>
      <c r="J9" s="4"/>
      <c r="K9" s="4"/>
      <c r="L9" s="4"/>
      <c r="M9" s="4"/>
      <c r="N9" s="5"/>
      <c r="O9" s="5"/>
    </row>
    <row r="10" spans="1:30" ht="18.75" thickBot="1" x14ac:dyDescent="0.3">
      <c r="A10" s="51" t="s">
        <v>61</v>
      </c>
      <c r="C10" s="192">
        <v>6</v>
      </c>
      <c r="D10" s="97" t="s">
        <v>166</v>
      </c>
      <c r="F10" s="52" t="s">
        <v>0</v>
      </c>
      <c r="H10" s="52" t="s">
        <v>60</v>
      </c>
      <c r="I10" s="4"/>
      <c r="J10" s="4"/>
      <c r="K10" s="194" t="s">
        <v>213</v>
      </c>
      <c r="L10" s="4"/>
      <c r="M10" s="4"/>
      <c r="N10" s="4"/>
      <c r="O10" s="5"/>
      <c r="P10" s="5"/>
      <c r="AD10" s="28" t="s">
        <v>144</v>
      </c>
    </row>
    <row r="11" spans="1:30" ht="18.75" thickBot="1" x14ac:dyDescent="0.3">
      <c r="A11" s="189" t="s">
        <v>102</v>
      </c>
      <c r="C11" s="193">
        <v>0.35</v>
      </c>
      <c r="D11" s="97" t="s">
        <v>167</v>
      </c>
      <c r="E11" s="3"/>
      <c r="H11" s="52" t="s">
        <v>198</v>
      </c>
      <c r="I11" s="4"/>
      <c r="J11" s="4"/>
      <c r="K11" s="4"/>
      <c r="L11" s="4"/>
      <c r="M11" s="4"/>
      <c r="N11" s="4"/>
      <c r="O11" s="5"/>
      <c r="P11" s="5"/>
      <c r="X11" s="100" t="s">
        <v>125</v>
      </c>
      <c r="AD11" s="87" t="s">
        <v>145</v>
      </c>
    </row>
    <row r="12" spans="1:30" s="28" customFormat="1" ht="15.75" x14ac:dyDescent="0.25">
      <c r="A12" s="190" t="s">
        <v>62</v>
      </c>
      <c r="C12" s="191">
        <f>+C10/(C11)</f>
        <v>17.142857142857142</v>
      </c>
      <c r="F12" s="194" t="s">
        <v>63</v>
      </c>
      <c r="G12" s="53" t="s">
        <v>64</v>
      </c>
      <c r="H12" s="54"/>
      <c r="I12" s="54"/>
      <c r="J12" s="195">
        <f>+C11</f>
        <v>0.35</v>
      </c>
      <c r="K12" s="53" t="s">
        <v>103</v>
      </c>
      <c r="L12" s="53"/>
      <c r="N12" s="54"/>
      <c r="O12" s="54"/>
      <c r="P12" s="54"/>
      <c r="R12" s="54"/>
      <c r="S12" s="54"/>
      <c r="T12" s="54"/>
      <c r="U12" s="54"/>
      <c r="V12" s="54"/>
    </row>
    <row r="13" spans="1:30" ht="7.15" customHeight="1" thickBot="1" x14ac:dyDescent="0.25"/>
    <row r="14" spans="1:30" ht="24.6" customHeight="1" x14ac:dyDescent="0.25">
      <c r="A14" s="7"/>
      <c r="B14" s="220" t="s">
        <v>58</v>
      </c>
      <c r="C14" s="224" t="s">
        <v>15</v>
      </c>
      <c r="D14" s="130" t="s">
        <v>40</v>
      </c>
      <c r="E14" s="224" t="s">
        <v>14</v>
      </c>
      <c r="F14" s="221"/>
      <c r="G14" s="107"/>
      <c r="H14" s="222"/>
      <c r="I14" s="223"/>
      <c r="J14" s="334" t="s">
        <v>41</v>
      </c>
      <c r="K14" s="334"/>
      <c r="L14" s="334"/>
      <c r="M14" s="221"/>
      <c r="N14" s="97"/>
      <c r="O14" s="336" t="s">
        <v>47</v>
      </c>
      <c r="P14" s="337"/>
      <c r="Q14" s="220"/>
      <c r="R14" s="334" t="s">
        <v>200</v>
      </c>
      <c r="S14" s="334"/>
      <c r="T14" s="335"/>
      <c r="U14" s="224" t="s">
        <v>40</v>
      </c>
      <c r="V14" s="224"/>
      <c r="W14" s="320" t="s">
        <v>201</v>
      </c>
      <c r="X14" s="67"/>
    </row>
    <row r="15" spans="1:30" ht="15" x14ac:dyDescent="0.25">
      <c r="A15" s="9"/>
      <c r="B15" s="225"/>
      <c r="C15" s="226"/>
      <c r="D15" s="225"/>
      <c r="E15" s="226"/>
      <c r="F15" s="227"/>
      <c r="G15" s="107"/>
      <c r="H15" s="228"/>
      <c r="I15" s="116"/>
      <c r="J15" s="231" t="s">
        <v>16</v>
      </c>
      <c r="K15" s="231"/>
      <c r="L15" s="231" t="s">
        <v>42</v>
      </c>
      <c r="M15" s="227"/>
      <c r="N15" s="97"/>
      <c r="O15" s="229"/>
      <c r="P15" s="230"/>
      <c r="Q15" s="116"/>
      <c r="R15" s="226"/>
      <c r="S15" s="226"/>
      <c r="T15" s="226"/>
      <c r="U15" s="226"/>
      <c r="V15" s="226"/>
      <c r="W15" s="321"/>
      <c r="X15" s="11"/>
    </row>
    <row r="16" spans="1:30" ht="14.25" x14ac:dyDescent="0.2">
      <c r="A16" s="14" t="s">
        <v>36</v>
      </c>
      <c r="B16" s="15"/>
      <c r="C16" s="103">
        <v>1</v>
      </c>
      <c r="D16" s="104"/>
      <c r="E16" s="105">
        <f>+C16</f>
        <v>1</v>
      </c>
      <c r="F16" s="16" t="s">
        <v>0</v>
      </c>
      <c r="H16" s="17" t="s">
        <v>217</v>
      </c>
      <c r="I16" s="56"/>
      <c r="J16" s="125">
        <v>0.1</v>
      </c>
      <c r="K16" s="126"/>
      <c r="L16" s="126">
        <f>+J16</f>
        <v>0.1</v>
      </c>
      <c r="M16" s="16"/>
      <c r="O16" s="46" t="s">
        <v>54</v>
      </c>
      <c r="Q16" s="2"/>
      <c r="R16" s="1" t="s">
        <v>119</v>
      </c>
      <c r="S16" s="98"/>
      <c r="T16" s="1" t="s">
        <v>118</v>
      </c>
      <c r="U16" s="2"/>
      <c r="V16" s="2"/>
      <c r="W16" s="1" t="s">
        <v>55</v>
      </c>
      <c r="X16" s="19"/>
    </row>
    <row r="17" spans="1:24" ht="13.5" customHeight="1" x14ac:dyDescent="0.2">
      <c r="A17" s="18" t="s">
        <v>97</v>
      </c>
      <c r="C17" s="106">
        <v>0.25</v>
      </c>
      <c r="D17" s="107"/>
      <c r="E17" s="106">
        <v>0.15</v>
      </c>
      <c r="F17" s="19"/>
      <c r="H17" s="327" t="s">
        <v>218</v>
      </c>
      <c r="I17" s="328"/>
      <c r="J17" s="328"/>
      <c r="K17" s="328"/>
      <c r="L17" s="328"/>
      <c r="M17" s="329"/>
      <c r="O17" s="46"/>
      <c r="Q17" s="2"/>
      <c r="U17" s="2"/>
      <c r="V17" s="2"/>
      <c r="W17" s="4"/>
      <c r="X17" s="19"/>
    </row>
    <row r="18" spans="1:24" ht="13.5" customHeight="1" x14ac:dyDescent="0.2">
      <c r="A18" s="18" t="s">
        <v>65</v>
      </c>
      <c r="C18" s="106">
        <v>0.87</v>
      </c>
      <c r="D18" s="107"/>
      <c r="E18" s="106">
        <v>0.4</v>
      </c>
      <c r="F18" s="19"/>
      <c r="H18" s="330"/>
      <c r="I18" s="328"/>
      <c r="J18" s="328"/>
      <c r="K18" s="328"/>
      <c r="L18" s="328"/>
      <c r="M18" s="329"/>
      <c r="O18" s="18" t="s">
        <v>66</v>
      </c>
      <c r="R18" s="131">
        <f>C10*1000</f>
        <v>6000</v>
      </c>
      <c r="S18" s="131"/>
      <c r="T18" s="131">
        <f>C10*1000</f>
        <v>6000</v>
      </c>
      <c r="U18" s="2" t="s">
        <v>23</v>
      </c>
      <c r="V18" s="20"/>
      <c r="W18" s="131">
        <f>+R18</f>
        <v>6000</v>
      </c>
      <c r="X18" s="19" t="s">
        <v>23</v>
      </c>
    </row>
    <row r="19" spans="1:24" ht="15" x14ac:dyDescent="0.25">
      <c r="A19" s="18" t="s">
        <v>37</v>
      </c>
      <c r="C19" s="108">
        <f>IF($C$10&lt;$C$16,"ERROR",(C10-C16)*(1-C17))</f>
        <v>3.75</v>
      </c>
      <c r="D19" s="97"/>
      <c r="E19" s="108">
        <f>IF($C$10&lt;$C$16,"ERROR",(C10-E16)*(1-E17))</f>
        <v>4.25</v>
      </c>
      <c r="F19" s="19" t="s">
        <v>0</v>
      </c>
      <c r="H19" s="18" t="s">
        <v>35</v>
      </c>
      <c r="J19" s="110">
        <f>C10*J16</f>
        <v>0.60000000000000009</v>
      </c>
      <c r="K19" s="110"/>
      <c r="L19" s="110">
        <f>J19</f>
        <v>0.60000000000000009</v>
      </c>
      <c r="M19" s="19" t="s">
        <v>17</v>
      </c>
      <c r="O19" s="46" t="s">
        <v>212</v>
      </c>
      <c r="R19" s="132">
        <v>1500</v>
      </c>
      <c r="S19" s="133"/>
      <c r="T19" s="132">
        <v>1500</v>
      </c>
      <c r="U19" s="2" t="s">
        <v>23</v>
      </c>
      <c r="V19" s="20"/>
      <c r="W19" s="132">
        <v>1500</v>
      </c>
      <c r="X19" s="19" t="s">
        <v>23</v>
      </c>
    </row>
    <row r="20" spans="1:24" ht="14.25" x14ac:dyDescent="0.2">
      <c r="A20" s="18" t="s">
        <v>1</v>
      </c>
      <c r="C20" s="109">
        <v>0.6</v>
      </c>
      <c r="D20" s="107"/>
      <c r="E20" s="109">
        <v>0.8</v>
      </c>
      <c r="F20" s="19" t="s">
        <v>2</v>
      </c>
      <c r="H20" s="22" t="s">
        <v>38</v>
      </c>
      <c r="I20" s="57"/>
      <c r="J20" s="110">
        <f>+J19/2.47*12</f>
        <v>2.9149797570850202</v>
      </c>
      <c r="K20" s="110"/>
      <c r="L20" s="110">
        <f>+L19/2.47*12</f>
        <v>2.9149797570850202</v>
      </c>
      <c r="M20" s="19" t="s">
        <v>22</v>
      </c>
      <c r="O20" s="18" t="s">
        <v>83</v>
      </c>
      <c r="R20" s="131">
        <f>R18-R19</f>
        <v>4500</v>
      </c>
      <c r="S20" s="131"/>
      <c r="T20" s="131">
        <f>T18-T19</f>
        <v>4500</v>
      </c>
      <c r="U20" s="2" t="s">
        <v>23</v>
      </c>
      <c r="V20" s="20"/>
      <c r="W20" s="131">
        <f>W18-W19</f>
        <v>4500</v>
      </c>
      <c r="X20" s="19" t="s">
        <v>23</v>
      </c>
    </row>
    <row r="21" spans="1:24" ht="14.25" x14ac:dyDescent="0.2">
      <c r="A21" s="9"/>
      <c r="B21" s="10"/>
      <c r="C21" s="10"/>
      <c r="D21" s="10"/>
      <c r="E21" s="10"/>
      <c r="F21" s="11"/>
      <c r="H21" s="23" t="s">
        <v>114</v>
      </c>
      <c r="I21" s="58"/>
      <c r="J21" s="127">
        <f>+J19/2.47*14</f>
        <v>3.4008097165991904</v>
      </c>
      <c r="K21" s="127"/>
      <c r="L21" s="127">
        <f>+L19/2.47*14</f>
        <v>3.4008097165991904</v>
      </c>
      <c r="M21" s="11" t="s">
        <v>22</v>
      </c>
      <c r="O21" s="26"/>
      <c r="Q21" s="4"/>
      <c r="R21" s="2"/>
      <c r="S21" s="2"/>
      <c r="T21" s="2"/>
      <c r="U21" s="2"/>
      <c r="V21" s="2"/>
      <c r="X21" s="19"/>
    </row>
    <row r="22" spans="1:24" ht="7.9" customHeight="1" x14ac:dyDescent="0.2">
      <c r="A22" s="25"/>
      <c r="F22" s="19"/>
      <c r="H22" s="18"/>
      <c r="M22" s="19"/>
      <c r="O22" s="101"/>
      <c r="P22" s="36"/>
      <c r="Q22" s="102"/>
      <c r="R22" s="15"/>
      <c r="S22" s="15"/>
      <c r="T22" s="15"/>
      <c r="U22" s="15"/>
      <c r="V22" s="15"/>
      <c r="W22" s="15"/>
      <c r="X22" s="16"/>
    </row>
    <row r="23" spans="1:24" ht="15" x14ac:dyDescent="0.25">
      <c r="A23" s="25"/>
      <c r="B23" s="6" t="s">
        <v>70</v>
      </c>
      <c r="C23" s="108">
        <f>IF($C$10&lt;$C$16,"ERROR",C25/C20)</f>
        <v>7.1839080459770122</v>
      </c>
      <c r="D23" s="97"/>
      <c r="E23" s="108">
        <f>IF($C$10&lt;$C$16,"ERROR",E25/E20)</f>
        <v>13.28125</v>
      </c>
      <c r="F23" s="27" t="s">
        <v>71</v>
      </c>
      <c r="H23" s="46" t="s">
        <v>220</v>
      </c>
      <c r="J23" s="109">
        <v>12</v>
      </c>
      <c r="K23" s="117"/>
      <c r="L23" s="109">
        <v>12</v>
      </c>
      <c r="M23" s="19" t="s">
        <v>18</v>
      </c>
      <c r="O23" s="29" t="s">
        <v>31</v>
      </c>
      <c r="Q23" s="30"/>
      <c r="R23" s="109">
        <v>350</v>
      </c>
      <c r="S23" s="134"/>
      <c r="T23" s="109">
        <v>35</v>
      </c>
      <c r="U23" s="2" t="s">
        <v>93</v>
      </c>
      <c r="W23" s="109">
        <v>350</v>
      </c>
      <c r="X23" s="19" t="s">
        <v>93</v>
      </c>
    </row>
    <row r="24" spans="1:24" ht="14.25" x14ac:dyDescent="0.2">
      <c r="A24" s="25"/>
      <c r="B24" s="28" t="s">
        <v>70</v>
      </c>
      <c r="C24" s="110">
        <f>IF($C$10&lt;$C$16,"ERROR",C23/2.47)</f>
        <v>2.9084647959421099</v>
      </c>
      <c r="D24" s="107"/>
      <c r="E24" s="110">
        <f>IF($C$10&lt;$C$16,"ERROR",E23/2.47)</f>
        <v>5.3770242914979756</v>
      </c>
      <c r="F24" s="27" t="s">
        <v>72</v>
      </c>
      <c r="H24" s="46" t="s">
        <v>199</v>
      </c>
      <c r="J24" s="128">
        <v>12</v>
      </c>
      <c r="K24" s="110"/>
      <c r="L24" s="128">
        <v>12</v>
      </c>
      <c r="M24" s="19" t="s">
        <v>19</v>
      </c>
      <c r="O24" s="18" t="s">
        <v>94</v>
      </c>
      <c r="R24" s="135">
        <v>0.03</v>
      </c>
      <c r="S24" s="136"/>
      <c r="T24" s="135">
        <v>0.04</v>
      </c>
      <c r="U24" s="2" t="s">
        <v>33</v>
      </c>
      <c r="V24" s="31"/>
      <c r="W24" s="135">
        <v>0.03</v>
      </c>
      <c r="X24" s="19" t="s">
        <v>33</v>
      </c>
    </row>
    <row r="25" spans="1:24" ht="15" x14ac:dyDescent="0.25">
      <c r="A25" s="25"/>
      <c r="B25" s="6" t="s">
        <v>5</v>
      </c>
      <c r="C25" s="108">
        <f>IF($C$10&lt;$C$16,"ERROR",C19/C18)</f>
        <v>4.3103448275862073</v>
      </c>
      <c r="D25" s="97"/>
      <c r="E25" s="108">
        <f>IF($C$10&lt;$C$16,"ERROR",E19/E18)</f>
        <v>10.625</v>
      </c>
      <c r="F25" s="19" t="s">
        <v>17</v>
      </c>
      <c r="H25" s="46" t="s">
        <v>45</v>
      </c>
      <c r="J25" s="111">
        <v>650</v>
      </c>
      <c r="K25" s="112"/>
      <c r="L25" s="111">
        <v>350</v>
      </c>
      <c r="M25" s="19" t="s">
        <v>75</v>
      </c>
      <c r="O25" s="46" t="s">
        <v>95</v>
      </c>
      <c r="R25" s="109">
        <v>0.9</v>
      </c>
      <c r="S25" s="134"/>
      <c r="T25" s="109">
        <v>0.2</v>
      </c>
      <c r="U25" s="2" t="s">
        <v>24</v>
      </c>
      <c r="W25" s="109">
        <v>0.9</v>
      </c>
      <c r="X25" s="19" t="s">
        <v>24</v>
      </c>
    </row>
    <row r="26" spans="1:24" ht="12.75" customHeight="1" x14ac:dyDescent="0.2">
      <c r="A26" s="25"/>
      <c r="B26" s="28" t="s">
        <v>5</v>
      </c>
      <c r="C26" s="110">
        <f>IF($C$10&lt;$C$16,"ERROR",C25/2.47)</f>
        <v>1.7450788775652659</v>
      </c>
      <c r="D26" s="107"/>
      <c r="E26" s="110">
        <f>IF($C$10&lt;$C$16,"ERROR",E25/2.47)</f>
        <v>4.3016194331983799</v>
      </c>
      <c r="F26" s="19" t="s">
        <v>59</v>
      </c>
      <c r="H26" s="18"/>
      <c r="J26" s="107"/>
      <c r="K26" s="107"/>
      <c r="L26" s="107"/>
      <c r="M26" s="19"/>
      <c r="O26" s="18" t="s">
        <v>57</v>
      </c>
      <c r="R26" s="106">
        <v>0.2</v>
      </c>
      <c r="S26" s="137"/>
      <c r="T26" s="106">
        <v>0.2</v>
      </c>
      <c r="U26" s="2" t="s">
        <v>84</v>
      </c>
      <c r="V26" s="20"/>
      <c r="W26" s="106">
        <v>0.2</v>
      </c>
      <c r="X26" s="19" t="s">
        <v>84</v>
      </c>
    </row>
    <row r="27" spans="1:24" ht="13.15" customHeight="1" x14ac:dyDescent="0.2">
      <c r="A27" s="338"/>
      <c r="B27" s="339"/>
      <c r="C27" s="339"/>
      <c r="D27" s="339"/>
      <c r="E27" s="339"/>
      <c r="F27" s="340"/>
      <c r="H27" s="341" t="s">
        <v>51</v>
      </c>
      <c r="I27" s="342"/>
      <c r="J27" s="106">
        <v>0.1</v>
      </c>
      <c r="K27" s="129"/>
      <c r="L27" s="106">
        <v>0.1</v>
      </c>
      <c r="M27" s="19"/>
      <c r="O27" s="18" t="s">
        <v>25</v>
      </c>
      <c r="R27" s="128">
        <v>3</v>
      </c>
      <c r="S27" s="138"/>
      <c r="T27" s="128">
        <v>15</v>
      </c>
      <c r="U27" s="2" t="s">
        <v>26</v>
      </c>
      <c r="V27" s="20"/>
      <c r="W27" s="128">
        <v>3</v>
      </c>
      <c r="X27" s="19" t="s">
        <v>26</v>
      </c>
    </row>
    <row r="28" spans="1:24" ht="13.15" customHeight="1" x14ac:dyDescent="0.2">
      <c r="A28" s="18" t="s">
        <v>6</v>
      </c>
      <c r="B28" s="6"/>
      <c r="C28" s="4"/>
      <c r="E28" s="4"/>
      <c r="F28" s="19"/>
      <c r="H28" s="50" t="s">
        <v>52</v>
      </c>
      <c r="I28" s="59"/>
      <c r="M28" s="19"/>
      <c r="O28" s="18" t="s">
        <v>56</v>
      </c>
      <c r="R28" s="132">
        <v>42</v>
      </c>
      <c r="S28" s="133"/>
      <c r="T28" s="132">
        <v>60</v>
      </c>
      <c r="U28" s="2" t="s">
        <v>39</v>
      </c>
      <c r="W28" s="132">
        <v>42</v>
      </c>
      <c r="X28" s="19" t="s">
        <v>39</v>
      </c>
    </row>
    <row r="29" spans="1:24" ht="14.45" customHeight="1" x14ac:dyDescent="0.2">
      <c r="A29" s="25"/>
      <c r="B29" s="6" t="s">
        <v>7</v>
      </c>
      <c r="C29" s="111">
        <v>55</v>
      </c>
      <c r="D29" s="107"/>
      <c r="E29" s="111">
        <v>55</v>
      </c>
      <c r="F29" s="27" t="s">
        <v>4</v>
      </c>
      <c r="H29" s="18"/>
      <c r="M29" s="19"/>
      <c r="O29" s="18"/>
      <c r="P29" s="2"/>
      <c r="Q29" s="317" t="str">
        <f>IF(R28=R35,"The grazing period is at the optimal level",(IF((R28)&gt;(R35),"WARNING. The paddock will be grazed out before the alloted time.  You need to reduce the grazing period and/or stocking rate.","Please note, there is capacity for a longer grazing period.  The figure immediately below indicates the grazing period needed to use all the grazable herbage mass.")))</f>
        <v>Please note, there is capacity for a longer grazing period.  The figure immediately below indicates the grazing period needed to use all the grazable herbage mass.</v>
      </c>
      <c r="R29" s="306"/>
      <c r="S29" s="306"/>
      <c r="T29" s="317" t="str">
        <f>IF(T28=T35,"The grazing period is at the optimal level",(IF((T28)&gt;(T35),"WARNING. The paddock will be grazed out before the alloted time.  You need to reduce the grazing period and/or stocking rate.","Please note, there is capacity for a longer grazing period.  The figure immediately below indicates the grazing period needed to use all the grazable herbage mass.")))</f>
        <v>Please note, there is capacity for a longer grazing period.  The figure immediately below indicates the grazing period needed to use all the grazable herbage mass.</v>
      </c>
      <c r="U29" s="319"/>
      <c r="W29" s="317" t="str">
        <f>IF(W28=W35,"The grazing period is at the optimal level",(IF((W28)&gt;(W35),"WARNING. The paddock will be grazed out before the alloted time.  You need to reduce the grazing period and/or stocking rate.","Please note, there is capacity for a longer grazing period.  The figure immediately below indicates the grazing period needed to use all the grazable herbage mass.")))</f>
        <v>Please note, there is capacity for a longer grazing period.  The figure immediately below indicates the grazing period needed to use all the grazable herbage mass.</v>
      </c>
      <c r="X29" s="318"/>
    </row>
    <row r="30" spans="1:24" ht="14.45" customHeight="1" x14ac:dyDescent="0.2">
      <c r="A30" s="25"/>
      <c r="B30" s="6" t="s">
        <v>8</v>
      </c>
      <c r="C30" s="111">
        <v>0</v>
      </c>
      <c r="D30" s="107"/>
      <c r="E30" s="111">
        <v>0</v>
      </c>
      <c r="F30" s="72" t="s">
        <v>4</v>
      </c>
      <c r="H30" s="18" t="s">
        <v>28</v>
      </c>
      <c r="J30" s="110">
        <f>+J23*1000*J24/10000*(1-J27)</f>
        <v>12.96</v>
      </c>
      <c r="K30" s="110"/>
      <c r="L30" s="110">
        <f>+L23*1000*L24/10000*(1-L27)</f>
        <v>12.96</v>
      </c>
      <c r="M30" s="19" t="s">
        <v>20</v>
      </c>
      <c r="O30" s="18"/>
      <c r="P30" s="66"/>
      <c r="Q30" s="306"/>
      <c r="R30" s="306"/>
      <c r="S30" s="306"/>
      <c r="T30" s="319"/>
      <c r="U30" s="319"/>
      <c r="V30" s="90"/>
      <c r="W30" s="319"/>
      <c r="X30" s="318"/>
    </row>
    <row r="31" spans="1:24" ht="14.45" customHeight="1" x14ac:dyDescent="0.2">
      <c r="A31" s="25"/>
      <c r="B31" s="41" t="s">
        <v>123</v>
      </c>
      <c r="C31" s="111">
        <v>35</v>
      </c>
      <c r="D31" s="107"/>
      <c r="E31" s="111">
        <v>35</v>
      </c>
      <c r="F31" s="72" t="s">
        <v>4</v>
      </c>
      <c r="H31" s="18" t="s">
        <v>27</v>
      </c>
      <c r="J31" s="110">
        <f>+J30*J19</f>
        <v>7.7760000000000016</v>
      </c>
      <c r="K31" s="110"/>
      <c r="L31" s="110">
        <f>+L30*L19</f>
        <v>7.7760000000000016</v>
      </c>
      <c r="M31" s="19" t="s">
        <v>21</v>
      </c>
      <c r="O31" s="18"/>
      <c r="P31" s="66"/>
      <c r="Q31" s="306"/>
      <c r="R31" s="306"/>
      <c r="S31" s="306"/>
      <c r="T31" s="319"/>
      <c r="U31" s="319"/>
      <c r="V31" s="90"/>
      <c r="W31" s="319"/>
      <c r="X31" s="318"/>
    </row>
    <row r="32" spans="1:24" ht="14.45" customHeight="1" x14ac:dyDescent="0.2">
      <c r="A32" s="25"/>
      <c r="B32" s="41" t="s">
        <v>122</v>
      </c>
      <c r="C32" s="111">
        <v>25</v>
      </c>
      <c r="D32" s="107"/>
      <c r="E32" s="111">
        <v>25</v>
      </c>
      <c r="F32" s="27" t="s">
        <v>73</v>
      </c>
      <c r="H32" s="18"/>
      <c r="J32" s="21"/>
      <c r="K32" s="21"/>
      <c r="L32" s="21"/>
      <c r="M32" s="19"/>
      <c r="O32" s="18"/>
      <c r="P32" s="66"/>
      <c r="Q32" s="306"/>
      <c r="R32" s="306"/>
      <c r="S32" s="306"/>
      <c r="T32" s="319"/>
      <c r="U32" s="319"/>
      <c r="V32" s="90"/>
      <c r="W32" s="319"/>
      <c r="X32" s="318"/>
    </row>
    <row r="33" spans="1:24" ht="14.45" customHeight="1" x14ac:dyDescent="0.2">
      <c r="A33" s="25"/>
      <c r="B33" s="41" t="s">
        <v>185</v>
      </c>
      <c r="C33" s="236"/>
      <c r="D33" s="107"/>
      <c r="E33" s="111">
        <v>15</v>
      </c>
      <c r="F33" s="27" t="s">
        <v>73</v>
      </c>
      <c r="H33" s="344" t="str">
        <f>IF($J$16&gt;0.4,"WARNING FOR CEREAL CROPS. Harvest index value is high, if the cereal crop is drought affected, use a lower crop harvest index. ",(IF(($J$16)&gt;0.3,"",(IF(($J$16)&gt;=0.205,"WARNING FOR CANOLA CROPS. Harvest index value is high, if the canola crop is drought affected use a lower value.","")))))</f>
        <v/>
      </c>
      <c r="I33" s="345"/>
      <c r="J33" s="345"/>
      <c r="K33" s="345"/>
      <c r="L33" s="345"/>
      <c r="M33" s="346"/>
      <c r="O33" s="18"/>
      <c r="P33" s="66"/>
      <c r="Q33" s="306"/>
      <c r="R33" s="306"/>
      <c r="S33" s="306"/>
      <c r="T33" s="319"/>
      <c r="U33" s="319"/>
      <c r="V33" s="90"/>
      <c r="W33" s="319"/>
      <c r="X33" s="318"/>
    </row>
    <row r="34" spans="1:24" ht="14.45" customHeight="1" x14ac:dyDescent="0.2">
      <c r="A34" s="25"/>
      <c r="B34" s="41" t="s">
        <v>186</v>
      </c>
      <c r="C34" s="111">
        <v>5</v>
      </c>
      <c r="D34" s="107"/>
      <c r="E34" s="111">
        <v>5</v>
      </c>
      <c r="F34" s="27" t="s">
        <v>73</v>
      </c>
      <c r="H34" s="347"/>
      <c r="I34" s="345"/>
      <c r="J34" s="345"/>
      <c r="K34" s="345"/>
      <c r="L34" s="345"/>
      <c r="M34" s="346"/>
      <c r="O34" s="18"/>
      <c r="P34" s="66"/>
      <c r="Q34" s="306"/>
      <c r="R34" s="306"/>
      <c r="S34" s="306"/>
      <c r="T34" s="319"/>
      <c r="U34" s="319"/>
      <c r="V34" s="90"/>
      <c r="W34" s="319"/>
      <c r="X34" s="318"/>
    </row>
    <row r="35" spans="1:24" ht="12.6" customHeight="1" x14ac:dyDescent="0.2">
      <c r="A35" s="25"/>
      <c r="B35" s="6"/>
      <c r="C35" s="32"/>
      <c r="E35" s="32"/>
      <c r="F35" s="19"/>
      <c r="H35" s="18"/>
      <c r="M35" s="19"/>
      <c r="O35" s="324" t="s">
        <v>205</v>
      </c>
      <c r="P35" s="325"/>
      <c r="R35" s="316">
        <f>ROUND((R40/(R27*R39)),0)</f>
        <v>114</v>
      </c>
      <c r="S35" s="146"/>
      <c r="T35" s="316">
        <f>ROUND((T40/(T27*T39)),0)</f>
        <v>171</v>
      </c>
      <c r="U35" s="343" t="s">
        <v>39</v>
      </c>
      <c r="V35" s="33"/>
      <c r="W35" s="316">
        <f>ROUND((W40/(W27*W39)),0)</f>
        <v>114</v>
      </c>
      <c r="X35" s="331" t="s">
        <v>39</v>
      </c>
    </row>
    <row r="36" spans="1:24" ht="14.25" x14ac:dyDescent="0.2">
      <c r="A36" s="18" t="s">
        <v>78</v>
      </c>
      <c r="B36" s="6"/>
      <c r="C36" s="32"/>
      <c r="E36" s="32"/>
      <c r="F36" s="19"/>
      <c r="H36" s="18"/>
      <c r="J36" s="219"/>
      <c r="M36" s="19"/>
      <c r="O36" s="326"/>
      <c r="P36" s="325"/>
      <c r="R36" s="316"/>
      <c r="S36" s="146"/>
      <c r="T36" s="316"/>
      <c r="U36" s="343"/>
      <c r="W36" s="316"/>
      <c r="X36" s="331"/>
    </row>
    <row r="37" spans="1:24" ht="14.25" x14ac:dyDescent="0.2">
      <c r="A37" s="25"/>
      <c r="B37" s="41" t="s">
        <v>122</v>
      </c>
      <c r="C37" s="112">
        <f>IF($C$10&lt;$C$16,"ERROR",C32*C23)</f>
        <v>179.59770114942529</v>
      </c>
      <c r="D37" s="107"/>
      <c r="E37" s="112">
        <f>IF($C$10&lt;$C$16,"ERROR",E32*E23)</f>
        <v>332.03125</v>
      </c>
      <c r="F37" s="27" t="s">
        <v>4</v>
      </c>
      <c r="H37" s="18"/>
      <c r="J37" s="32"/>
      <c r="K37" s="32"/>
      <c r="L37" s="32"/>
      <c r="M37" s="19"/>
      <c r="O37" s="18"/>
      <c r="R37" s="110"/>
      <c r="S37" s="110"/>
      <c r="T37" s="110"/>
      <c r="U37" s="2"/>
      <c r="V37" s="34"/>
      <c r="W37" s="110"/>
      <c r="X37" s="19"/>
    </row>
    <row r="38" spans="1:24" ht="14.25" x14ac:dyDescent="0.2">
      <c r="A38" s="25"/>
      <c r="B38" s="6" t="s">
        <v>185</v>
      </c>
      <c r="C38" s="112"/>
      <c r="D38" s="107"/>
      <c r="E38" s="112">
        <f>IF($C$10&lt;$C$16,"ERROR",E33*E23)</f>
        <v>199.21875</v>
      </c>
      <c r="F38" s="27" t="s">
        <v>4</v>
      </c>
      <c r="H38" s="18"/>
      <c r="M38" s="19"/>
      <c r="O38" s="18" t="s">
        <v>88</v>
      </c>
      <c r="R38" s="117"/>
      <c r="S38" s="117"/>
      <c r="T38" s="117"/>
      <c r="U38" s="2"/>
      <c r="W38" s="117"/>
      <c r="X38" s="19"/>
    </row>
    <row r="39" spans="1:24" ht="12.75" customHeight="1" x14ac:dyDescent="0.2">
      <c r="A39" s="25"/>
      <c r="B39" s="41" t="s">
        <v>186</v>
      </c>
      <c r="C39" s="112">
        <f>IF($C$10&lt;$C$16,"ERROR",C34*C23)</f>
        <v>35.919540229885058</v>
      </c>
      <c r="D39" s="107"/>
      <c r="E39" s="112">
        <f>IF($C$10&lt;$C$16,"ERROR",E34*E23)</f>
        <v>66.40625</v>
      </c>
      <c r="F39" s="27" t="s">
        <v>4</v>
      </c>
      <c r="H39" s="18"/>
      <c r="M39" s="19"/>
      <c r="O39" s="18"/>
      <c r="P39" s="6" t="s">
        <v>86</v>
      </c>
      <c r="R39" s="110">
        <f>+R23*R24</f>
        <v>10.5</v>
      </c>
      <c r="S39" s="110"/>
      <c r="T39" s="110">
        <f>+T23*T24</f>
        <v>1.4000000000000001</v>
      </c>
      <c r="U39" s="2" t="s">
        <v>85</v>
      </c>
      <c r="V39" s="21"/>
      <c r="W39" s="110">
        <f>+W23*W24</f>
        <v>10.5</v>
      </c>
      <c r="X39" s="19" t="s">
        <v>85</v>
      </c>
    </row>
    <row r="40" spans="1:24" ht="14.25" x14ac:dyDescent="0.2">
      <c r="A40" s="308" t="str">
        <f>IF($C$10&lt;$C$16,"ERROR.  The total crop dry matter needs to be more than the uncut residual dry matter", "")</f>
        <v/>
      </c>
      <c r="B40" s="309"/>
      <c r="C40" s="309"/>
      <c r="D40" s="309"/>
      <c r="E40" s="309"/>
      <c r="F40" s="310"/>
      <c r="H40" s="18"/>
      <c r="M40" s="19"/>
      <c r="O40" s="18"/>
      <c r="P40" s="6" t="s">
        <v>87</v>
      </c>
      <c r="R40" s="131">
        <f>+R20*(1-R26)</f>
        <v>3600</v>
      </c>
      <c r="S40" s="131"/>
      <c r="T40" s="131">
        <f>+T20*(1-T26)</f>
        <v>3600</v>
      </c>
      <c r="U40" s="2" t="s">
        <v>23</v>
      </c>
      <c r="V40" s="20"/>
      <c r="W40" s="131">
        <f>+W20*(1-W26)</f>
        <v>3600</v>
      </c>
      <c r="X40" s="19" t="s">
        <v>23</v>
      </c>
    </row>
    <row r="41" spans="1:24" ht="14.25" x14ac:dyDescent="0.2">
      <c r="A41" s="308"/>
      <c r="B41" s="309"/>
      <c r="C41" s="309"/>
      <c r="D41" s="309"/>
      <c r="E41" s="309"/>
      <c r="F41" s="310"/>
      <c r="H41" s="18"/>
      <c r="M41" s="19"/>
      <c r="O41" s="18"/>
      <c r="P41" s="6" t="s">
        <v>91</v>
      </c>
      <c r="R41" s="131">
        <f>+R25*R28</f>
        <v>37.800000000000004</v>
      </c>
      <c r="S41" s="131"/>
      <c r="T41" s="131">
        <f>+T25*T28</f>
        <v>12</v>
      </c>
      <c r="U41" s="2" t="s">
        <v>89</v>
      </c>
      <c r="V41" s="20"/>
      <c r="W41" s="131">
        <f>+W25*W28</f>
        <v>37.800000000000004</v>
      </c>
      <c r="X41" s="19" t="s">
        <v>89</v>
      </c>
    </row>
    <row r="42" spans="1:24" ht="8.4499999999999993" customHeight="1" x14ac:dyDescent="0.2">
      <c r="A42" s="25"/>
      <c r="B42" s="6"/>
      <c r="C42" s="32"/>
      <c r="E42" s="32"/>
      <c r="F42" s="27"/>
      <c r="H42" s="18"/>
      <c r="M42" s="19"/>
      <c r="O42" s="18"/>
      <c r="R42" s="20"/>
      <c r="S42" s="20"/>
      <c r="T42" s="20"/>
      <c r="U42" s="2"/>
      <c r="V42" s="20"/>
      <c r="W42" s="20"/>
      <c r="X42" s="19"/>
    </row>
    <row r="43" spans="1:24" x14ac:dyDescent="0.2">
      <c r="A43" s="12" t="s">
        <v>79</v>
      </c>
      <c r="B43" s="6"/>
      <c r="C43" s="4"/>
      <c r="E43" s="4"/>
      <c r="F43" s="19"/>
      <c r="H43" s="12" t="s">
        <v>79</v>
      </c>
      <c r="I43" s="13"/>
      <c r="J43" s="10"/>
      <c r="K43" s="10"/>
      <c r="L43" s="10"/>
      <c r="M43" s="11"/>
      <c r="O43" s="12" t="s">
        <v>79</v>
      </c>
      <c r="U43" s="2"/>
      <c r="W43" s="4"/>
      <c r="X43" s="19"/>
    </row>
    <row r="44" spans="1:24" ht="15" x14ac:dyDescent="0.25">
      <c r="A44" s="35"/>
      <c r="B44" s="56" t="s">
        <v>202</v>
      </c>
      <c r="C44" s="113">
        <f>IF($C$10&lt;$C$16,"ERROR",SUM(C29:C31,C37:C39))</f>
        <v>305.51724137931035</v>
      </c>
      <c r="D44" s="104"/>
      <c r="E44" s="113">
        <f>IF($C$10&lt;$C$16,"ERROR",SUM(E29:E31,E37:E39))</f>
        <v>687.65625</v>
      </c>
      <c r="F44" s="37" t="s">
        <v>4</v>
      </c>
      <c r="H44" s="17" t="s">
        <v>202</v>
      </c>
      <c r="I44" s="36"/>
      <c r="J44" s="113">
        <f>+J25/J30</f>
        <v>50.154320987654316</v>
      </c>
      <c r="K44" s="113"/>
      <c r="L44" s="113">
        <f>+L25/L30</f>
        <v>27.006172839506171</v>
      </c>
      <c r="M44" s="37" t="s">
        <v>4</v>
      </c>
      <c r="O44" s="14"/>
      <c r="P44" s="38" t="s">
        <v>32</v>
      </c>
      <c r="Q44" s="36"/>
      <c r="R44" s="139">
        <v>4</v>
      </c>
      <c r="S44" s="140"/>
      <c r="T44" s="139">
        <v>2.5</v>
      </c>
      <c r="U44" s="64" t="s">
        <v>80</v>
      </c>
      <c r="V44" s="39"/>
      <c r="W44" s="139">
        <v>4</v>
      </c>
      <c r="X44" s="37" t="s">
        <v>80</v>
      </c>
    </row>
    <row r="45" spans="1:24" ht="15" x14ac:dyDescent="0.25">
      <c r="A45" s="25"/>
      <c r="B45" s="41" t="s">
        <v>203</v>
      </c>
      <c r="C45" s="114">
        <f>IF($C$10&lt;$C$16,"ERROR",IF($C$10=$C$16,"",C44/C19))</f>
        <v>81.47126436781609</v>
      </c>
      <c r="D45" s="107"/>
      <c r="E45" s="114">
        <f>IF($C$10&lt;$C$16,"ERROR",IF($C$10=$C$16,"",E44/E19))</f>
        <v>161.8014705882353</v>
      </c>
      <c r="F45" s="27" t="s">
        <v>9</v>
      </c>
      <c r="H45" s="18"/>
      <c r="J45" s="107"/>
      <c r="K45" s="107"/>
      <c r="L45" s="107"/>
      <c r="M45" s="19"/>
      <c r="O45" s="18"/>
      <c r="P45" s="259" t="s">
        <v>215</v>
      </c>
      <c r="R45" s="141"/>
      <c r="S45" s="141"/>
      <c r="T45" s="141"/>
      <c r="U45" s="65"/>
      <c r="V45" s="40"/>
      <c r="W45" s="141"/>
      <c r="X45" s="63"/>
    </row>
    <row r="46" spans="1:24" ht="15" x14ac:dyDescent="0.25">
      <c r="A46" s="9"/>
      <c r="B46" s="42" t="s">
        <v>204</v>
      </c>
      <c r="C46" s="115">
        <f>IF($C$10&lt;$C$16,"ERROR",IF($C$10=$C$16,"",C44/C25))</f>
        <v>70.88</v>
      </c>
      <c r="D46" s="116"/>
      <c r="E46" s="115">
        <f>IF($C$10&lt;$C$16,"ERROR",IF($C$10=$C$16,"",E44/E25))</f>
        <v>64.720588235294116</v>
      </c>
      <c r="F46" s="73" t="s">
        <v>10</v>
      </c>
      <c r="H46" s="76" t="s">
        <v>81</v>
      </c>
      <c r="I46" s="13"/>
      <c r="J46" s="115">
        <f>+J25/J31</f>
        <v>83.59053497942385</v>
      </c>
      <c r="K46" s="115"/>
      <c r="L46" s="115">
        <f>+L25/L31</f>
        <v>45.010288065843611</v>
      </c>
      <c r="M46" s="11" t="s">
        <v>74</v>
      </c>
      <c r="O46" s="9"/>
      <c r="P46" s="255" t="s">
        <v>82</v>
      </c>
      <c r="Q46" s="13"/>
      <c r="R46" s="256">
        <f>+R$44*R$27</f>
        <v>12</v>
      </c>
      <c r="S46" s="256"/>
      <c r="T46" s="256">
        <f>+T$44*T$27</f>
        <v>37.5</v>
      </c>
      <c r="U46" s="257" t="s">
        <v>4</v>
      </c>
      <c r="V46" s="258"/>
      <c r="W46" s="256">
        <f>+W$44*W$27</f>
        <v>12</v>
      </c>
      <c r="X46" s="262" t="s">
        <v>4</v>
      </c>
    </row>
    <row r="47" spans="1:24" x14ac:dyDescent="0.2">
      <c r="A47" s="25"/>
      <c r="B47" s="6"/>
      <c r="C47" s="71"/>
      <c r="D47" s="41"/>
      <c r="E47" s="71"/>
      <c r="F47" s="72"/>
      <c r="H47" s="18"/>
      <c r="M47" s="19"/>
      <c r="O47" s="26"/>
      <c r="P47" s="4"/>
      <c r="R47" s="2"/>
      <c r="S47" s="2"/>
      <c r="T47" s="2"/>
      <c r="U47" s="2"/>
      <c r="V47" s="2"/>
      <c r="X47" s="19"/>
    </row>
    <row r="48" spans="1:24" x14ac:dyDescent="0.2">
      <c r="A48" s="12" t="s">
        <v>34</v>
      </c>
      <c r="B48" s="10"/>
      <c r="C48" s="10"/>
      <c r="D48" s="10"/>
      <c r="E48" s="10"/>
      <c r="F48" s="11"/>
      <c r="H48" s="12" t="s">
        <v>34</v>
      </c>
      <c r="I48" s="13"/>
      <c r="J48" s="10"/>
      <c r="K48" s="10"/>
      <c r="L48" s="10"/>
      <c r="M48" s="11"/>
      <c r="O48" s="12" t="s">
        <v>34</v>
      </c>
      <c r="P48" s="13"/>
      <c r="Q48" s="13"/>
      <c r="R48" s="24"/>
      <c r="S48" s="24"/>
      <c r="T48" s="24"/>
      <c r="U48" s="10"/>
      <c r="V48" s="24"/>
      <c r="W48" s="24"/>
      <c r="X48" s="11"/>
    </row>
    <row r="49" spans="1:24" ht="14.25" x14ac:dyDescent="0.2">
      <c r="A49" s="18"/>
      <c r="B49" s="6" t="s">
        <v>44</v>
      </c>
      <c r="C49" s="111">
        <v>200</v>
      </c>
      <c r="D49" s="107"/>
      <c r="E49" s="111">
        <v>175</v>
      </c>
      <c r="F49" s="27" t="s">
        <v>74</v>
      </c>
      <c r="H49" s="299" t="s">
        <v>216</v>
      </c>
      <c r="I49" s="300"/>
      <c r="J49" s="111">
        <v>350</v>
      </c>
      <c r="K49" s="112"/>
      <c r="L49" s="112">
        <f>+J49</f>
        <v>350</v>
      </c>
      <c r="M49" s="19" t="s">
        <v>74</v>
      </c>
      <c r="O49" s="18"/>
      <c r="P49" s="6" t="s">
        <v>49</v>
      </c>
      <c r="R49" s="142">
        <v>3.5</v>
      </c>
      <c r="S49" s="143"/>
      <c r="T49" s="142">
        <v>4</v>
      </c>
      <c r="U49" s="2" t="s">
        <v>90</v>
      </c>
      <c r="V49" s="43"/>
      <c r="W49" s="43"/>
      <c r="X49" s="19"/>
    </row>
    <row r="50" spans="1:24" ht="14.25" x14ac:dyDescent="0.2">
      <c r="A50" s="25"/>
      <c r="C50" s="107"/>
      <c r="D50" s="107"/>
      <c r="E50" s="107"/>
      <c r="F50" s="19"/>
      <c r="H50" s="44"/>
      <c r="I50" s="60"/>
      <c r="J50" s="117"/>
      <c r="K50" s="117"/>
      <c r="L50" s="117"/>
      <c r="M50" s="19"/>
      <c r="O50" s="18"/>
      <c r="P50" s="6" t="s">
        <v>30</v>
      </c>
      <c r="R50" s="106">
        <v>0.55000000000000004</v>
      </c>
      <c r="S50" s="137"/>
      <c r="T50" s="106">
        <v>0.55000000000000004</v>
      </c>
      <c r="U50" s="2" t="s">
        <v>29</v>
      </c>
      <c r="V50" s="45"/>
      <c r="W50" s="45"/>
      <c r="X50" s="19"/>
    </row>
    <row r="51" spans="1:24" ht="14.25" x14ac:dyDescent="0.2">
      <c r="A51" s="25"/>
      <c r="F51" s="19"/>
      <c r="H51" s="46" t="s">
        <v>43</v>
      </c>
      <c r="I51" s="41"/>
      <c r="J51" s="111">
        <v>15</v>
      </c>
      <c r="K51" s="112"/>
      <c r="L51" s="111">
        <v>15</v>
      </c>
      <c r="M51" s="19" t="s">
        <v>74</v>
      </c>
      <c r="O51" s="18"/>
      <c r="P51" s="6" t="s">
        <v>53</v>
      </c>
      <c r="R51" s="117"/>
      <c r="S51" s="117"/>
      <c r="T51" s="117"/>
      <c r="U51" s="2"/>
      <c r="W51" s="142">
        <v>6</v>
      </c>
      <c r="X51" s="27" t="s">
        <v>76</v>
      </c>
    </row>
    <row r="52" spans="1:24" ht="14.25" x14ac:dyDescent="0.2">
      <c r="A52" s="25"/>
      <c r="C52" s="117"/>
      <c r="D52" s="107"/>
      <c r="E52" s="117"/>
      <c r="F52" s="19"/>
      <c r="H52" s="18"/>
      <c r="M52" s="19"/>
      <c r="O52" s="18"/>
      <c r="P52" s="6" t="s">
        <v>92</v>
      </c>
      <c r="R52" s="144">
        <f>R41*R49*R50</f>
        <v>72.765000000000015</v>
      </c>
      <c r="S52" s="144"/>
      <c r="T52" s="144">
        <f>T41*T49*T50</f>
        <v>26.400000000000002</v>
      </c>
      <c r="U52" s="62" t="s">
        <v>77</v>
      </c>
      <c r="V52" s="43"/>
      <c r="W52" s="144">
        <f>+W28/7*W51</f>
        <v>36</v>
      </c>
      <c r="X52" s="27" t="s">
        <v>77</v>
      </c>
    </row>
    <row r="53" spans="1:24" ht="19.149999999999999" customHeight="1" thickBot="1" x14ac:dyDescent="0.25">
      <c r="A53" s="261"/>
      <c r="B53" s="49" t="s">
        <v>12</v>
      </c>
      <c r="C53" s="260">
        <f>IF($C$10&lt;$C$16,"ERROR",C$49*C$25)</f>
        <v>862.06896551724151</v>
      </c>
      <c r="D53" s="118"/>
      <c r="E53" s="260">
        <f>IF($C$10&lt;$C$16,"ERROR",E$49*E$25)</f>
        <v>1859.375</v>
      </c>
      <c r="F53" s="61" t="s">
        <v>4</v>
      </c>
      <c r="H53" s="47" t="s">
        <v>12</v>
      </c>
      <c r="I53" s="49"/>
      <c r="J53" s="260">
        <f>+(J$49-J$51)*J$19</f>
        <v>201.00000000000003</v>
      </c>
      <c r="K53" s="260"/>
      <c r="L53" s="260">
        <f>+(L$49-L$51)*L$19</f>
        <v>201.00000000000003</v>
      </c>
      <c r="M53" s="48" t="s">
        <v>4</v>
      </c>
      <c r="O53" s="47"/>
      <c r="P53" s="263" t="s">
        <v>12</v>
      </c>
      <c r="Q53" s="49"/>
      <c r="R53" s="260">
        <f>+R52*R27</f>
        <v>218.29500000000004</v>
      </c>
      <c r="S53" s="264"/>
      <c r="T53" s="260">
        <f>+T52*T27</f>
        <v>396.00000000000006</v>
      </c>
      <c r="U53" s="265" t="s">
        <v>4</v>
      </c>
      <c r="V53" s="266"/>
      <c r="W53" s="260">
        <f>+W52*W27</f>
        <v>108</v>
      </c>
      <c r="X53" s="267" t="s">
        <v>4</v>
      </c>
    </row>
    <row r="54" spans="1:24" s="83" customFormat="1" ht="22.15" customHeight="1" thickBot="1" x14ac:dyDescent="0.25">
      <c r="A54" s="252" t="s">
        <v>13</v>
      </c>
      <c r="B54" s="244"/>
      <c r="C54" s="253">
        <f>IF(C10&lt;C16,"ERROR",C53-C44)</f>
        <v>556.55172413793116</v>
      </c>
      <c r="D54" s="246"/>
      <c r="E54" s="253">
        <f>IF(C10&lt;C16,"ERROR",E53-E44)</f>
        <v>1171.71875</v>
      </c>
      <c r="F54" s="247" t="s">
        <v>4</v>
      </c>
      <c r="H54" s="252" t="s">
        <v>13</v>
      </c>
      <c r="I54" s="248"/>
      <c r="J54" s="253">
        <f>+J53-J44</f>
        <v>150.84567901234573</v>
      </c>
      <c r="K54" s="245"/>
      <c r="L54" s="253">
        <f>+L53-L44</f>
        <v>173.99382716049385</v>
      </c>
      <c r="M54" s="249" t="s">
        <v>4</v>
      </c>
      <c r="N54" s="84"/>
      <c r="O54" s="252" t="s">
        <v>13</v>
      </c>
      <c r="P54" s="248"/>
      <c r="Q54" s="248"/>
      <c r="R54" s="253">
        <f>(IF(R28&gt;R35,"Over stocked",R52*R27-R46))</f>
        <v>206.29500000000004</v>
      </c>
      <c r="S54" s="245"/>
      <c r="T54" s="253">
        <f>(IF(T28&gt;T35,"Over stocked",T52*T27-T46))</f>
        <v>358.50000000000006</v>
      </c>
      <c r="U54" s="250" t="s">
        <v>4</v>
      </c>
      <c r="V54" s="251"/>
      <c r="W54" s="253">
        <f>(IF(W28&gt;W35,"Overstocked",W52*W27-W46))</f>
        <v>96</v>
      </c>
      <c r="X54" s="254" t="s">
        <v>4</v>
      </c>
    </row>
    <row r="55" spans="1:24" x14ac:dyDescent="0.2">
      <c r="H55" s="2"/>
      <c r="I55" s="2"/>
    </row>
    <row r="56" spans="1:24" ht="13.5" thickBot="1" x14ac:dyDescent="0.25">
      <c r="A56" s="41" t="s">
        <v>104</v>
      </c>
      <c r="B56" s="6"/>
      <c r="C56" s="71"/>
      <c r="D56" s="41"/>
      <c r="E56" s="71"/>
      <c r="F56" s="74"/>
      <c r="H56" s="41" t="s">
        <v>104</v>
      </c>
      <c r="O56" s="4"/>
      <c r="P56" s="4"/>
      <c r="R56" s="2"/>
      <c r="S56" s="2"/>
      <c r="T56" s="2"/>
      <c r="U56" s="2"/>
      <c r="V56" s="2"/>
    </row>
    <row r="57" spans="1:24" ht="12.75" customHeight="1" x14ac:dyDescent="0.2">
      <c r="A57" s="8" t="s">
        <v>3</v>
      </c>
      <c r="B57" s="75"/>
      <c r="C57" s="119">
        <v>8.5</v>
      </c>
      <c r="D57" s="120"/>
      <c r="E57" s="121">
        <v>10</v>
      </c>
      <c r="F57" s="268" t="s">
        <v>219</v>
      </c>
      <c r="H57" s="8" t="s">
        <v>3</v>
      </c>
      <c r="I57" s="55"/>
      <c r="J57" s="121">
        <v>13</v>
      </c>
      <c r="K57" s="130"/>
      <c r="L57" s="130">
        <f>+J57</f>
        <v>13</v>
      </c>
      <c r="M57" s="268" t="s">
        <v>219</v>
      </c>
      <c r="O57" s="4"/>
      <c r="P57" s="4"/>
      <c r="R57" s="2"/>
      <c r="S57" s="2"/>
      <c r="T57" s="2"/>
      <c r="U57" s="2"/>
      <c r="V57" s="2"/>
    </row>
    <row r="58" spans="1:24" ht="12.75" customHeight="1" x14ac:dyDescent="0.2">
      <c r="A58" s="18"/>
      <c r="C58" s="110"/>
      <c r="D58" s="107"/>
      <c r="E58" s="117"/>
      <c r="F58" s="19"/>
      <c r="H58" s="18"/>
      <c r="J58" s="107"/>
      <c r="K58" s="107"/>
      <c r="L58" s="117"/>
      <c r="M58" s="19"/>
      <c r="O58" s="4"/>
      <c r="P58" s="4"/>
      <c r="R58" s="2"/>
      <c r="S58" s="2"/>
      <c r="T58" s="2"/>
      <c r="U58" s="2"/>
      <c r="V58" s="2"/>
    </row>
    <row r="59" spans="1:24" ht="15" x14ac:dyDescent="0.25">
      <c r="A59" s="46" t="s">
        <v>206</v>
      </c>
      <c r="B59" s="6"/>
      <c r="C59" s="122">
        <f>+C57*C19*1000</f>
        <v>31875</v>
      </c>
      <c r="D59" s="97"/>
      <c r="E59" s="122">
        <f>+E57*E19*1000</f>
        <v>42500</v>
      </c>
      <c r="F59" s="77" t="s">
        <v>105</v>
      </c>
      <c r="H59" s="46" t="s">
        <v>206</v>
      </c>
      <c r="J59" s="122">
        <f>+J57*J19*0.88*1000</f>
        <v>6864.0000000000009</v>
      </c>
      <c r="K59" s="107"/>
      <c r="L59" s="122">
        <f>+J59</f>
        <v>6864.0000000000009</v>
      </c>
      <c r="M59" s="77" t="s">
        <v>105</v>
      </c>
      <c r="O59" s="4"/>
      <c r="P59" s="4"/>
      <c r="R59" s="2"/>
      <c r="S59" s="2"/>
      <c r="T59" s="2"/>
      <c r="U59" s="2"/>
      <c r="V59" s="2"/>
      <c r="W59" s="78"/>
    </row>
    <row r="60" spans="1:24" ht="15.75" thickBot="1" x14ac:dyDescent="0.3">
      <c r="A60" s="79" t="s">
        <v>207</v>
      </c>
      <c r="B60" s="49"/>
      <c r="C60" s="123">
        <f>IF($C$10&lt;$C$16,"ERROR",IF($C$10=$C$16,"",C44*100/C59))</f>
        <v>0.95848546315077765</v>
      </c>
      <c r="D60" s="124"/>
      <c r="E60" s="123">
        <f>IF($C$10&lt;$C$16,"ERROR",IF($C$10=$C$16,"",E44*100/E59))</f>
        <v>1.6180147058823529</v>
      </c>
      <c r="F60" s="80" t="s">
        <v>11</v>
      </c>
      <c r="H60" s="79" t="s">
        <v>207</v>
      </c>
      <c r="I60" s="49"/>
      <c r="J60" s="123">
        <f>IF($C$10&lt;$C$16,"ERROR",IF($C$10=$C$16,"",J44*100/J59))</f>
        <v>0.73068649457538337</v>
      </c>
      <c r="K60" s="118"/>
      <c r="L60" s="123">
        <f>IF($C$10&lt;$C$16,"ERROR",IF($C$10=$C$16,"",L44*100/L59))</f>
        <v>0.39344657400212946</v>
      </c>
      <c r="M60" s="80" t="s">
        <v>11</v>
      </c>
      <c r="O60" s="4"/>
      <c r="P60" s="4"/>
      <c r="R60" s="2"/>
      <c r="S60" s="2"/>
      <c r="T60" s="2"/>
      <c r="U60" s="2"/>
      <c r="V60" s="2"/>
    </row>
    <row r="61" spans="1:24" x14ac:dyDescent="0.2">
      <c r="B61" s="6"/>
      <c r="C61" s="68"/>
      <c r="D61" s="41"/>
      <c r="E61" s="68"/>
      <c r="F61" s="74"/>
      <c r="L61" s="81"/>
      <c r="U61" s="2"/>
      <c r="W61" s="4"/>
    </row>
    <row r="62" spans="1:24" ht="15" x14ac:dyDescent="0.25">
      <c r="A62" s="97" t="s">
        <v>142</v>
      </c>
      <c r="B62" s="6"/>
      <c r="C62" s="68"/>
      <c r="D62" s="41"/>
      <c r="E62" s="88"/>
      <c r="F62" s="74"/>
      <c r="L62" s="71"/>
      <c r="U62" s="2"/>
      <c r="W62" s="4"/>
    </row>
    <row r="63" spans="1:24" x14ac:dyDescent="0.2">
      <c r="B63" s="6"/>
      <c r="C63" s="68"/>
      <c r="D63" s="41"/>
      <c r="E63" s="68"/>
      <c r="F63" s="74"/>
      <c r="L63" s="71"/>
      <c r="O63" s="6" t="s">
        <v>69</v>
      </c>
      <c r="U63" s="2"/>
      <c r="W63" s="4"/>
    </row>
    <row r="64" spans="1:24" x14ac:dyDescent="0.2">
      <c r="A64" s="6" t="s">
        <v>67</v>
      </c>
      <c r="H64" s="6" t="s">
        <v>68</v>
      </c>
      <c r="O64" s="313" t="s">
        <v>178</v>
      </c>
      <c r="P64" s="313"/>
      <c r="Q64" s="313"/>
      <c r="R64" s="313"/>
      <c r="S64" s="313"/>
      <c r="T64" s="313"/>
      <c r="U64" s="313"/>
      <c r="V64" s="313"/>
      <c r="W64" s="313"/>
      <c r="X64" s="313"/>
    </row>
    <row r="65" spans="1:25" ht="12.75" customHeight="1" x14ac:dyDescent="0.2">
      <c r="A65" s="302" t="s">
        <v>208</v>
      </c>
      <c r="B65" s="303"/>
      <c r="C65" s="303"/>
      <c r="D65" s="303"/>
      <c r="E65" s="303"/>
      <c r="F65" s="303"/>
      <c r="H65" s="305" t="s">
        <v>221</v>
      </c>
      <c r="I65" s="306"/>
      <c r="J65" s="306"/>
      <c r="K65" s="306"/>
      <c r="L65" s="306"/>
      <c r="M65" s="306"/>
      <c r="O65" s="304" t="s">
        <v>50</v>
      </c>
      <c r="P65" s="304"/>
      <c r="Q65" s="304"/>
      <c r="R65" s="304"/>
      <c r="S65" s="304"/>
      <c r="T65" s="304"/>
      <c r="U65" s="304"/>
      <c r="V65" s="304"/>
      <c r="W65" s="304"/>
      <c r="X65" s="304"/>
    </row>
    <row r="66" spans="1:25" x14ac:dyDescent="0.2">
      <c r="A66" s="303"/>
      <c r="B66" s="303"/>
      <c r="C66" s="303"/>
      <c r="D66" s="303"/>
      <c r="E66" s="303"/>
      <c r="F66" s="303"/>
      <c r="H66" s="306"/>
      <c r="I66" s="306"/>
      <c r="J66" s="306"/>
      <c r="K66" s="306"/>
      <c r="L66" s="306"/>
      <c r="M66" s="306"/>
      <c r="O66" s="304"/>
      <c r="P66" s="304"/>
      <c r="Q66" s="304"/>
      <c r="R66" s="304"/>
      <c r="S66" s="304"/>
      <c r="T66" s="304"/>
      <c r="U66" s="304"/>
      <c r="V66" s="304"/>
      <c r="W66" s="304"/>
      <c r="X66" s="304"/>
    </row>
    <row r="67" spans="1:25" ht="12.75" customHeight="1" x14ac:dyDescent="0.2">
      <c r="A67" s="301" t="s">
        <v>209</v>
      </c>
      <c r="B67" s="301"/>
      <c r="C67" s="301"/>
      <c r="D67" s="301"/>
      <c r="E67" s="301"/>
      <c r="F67" s="301"/>
      <c r="H67" s="306"/>
      <c r="I67" s="306"/>
      <c r="J67" s="306"/>
      <c r="K67" s="306"/>
      <c r="L67" s="306"/>
      <c r="M67" s="306"/>
      <c r="O67" s="304" t="s">
        <v>48</v>
      </c>
      <c r="P67" s="304"/>
      <c r="Q67" s="304"/>
      <c r="R67" s="304"/>
      <c r="S67" s="304"/>
      <c r="T67" s="304"/>
      <c r="U67" s="304"/>
      <c r="V67" s="304"/>
      <c r="W67" s="304"/>
      <c r="X67" s="304"/>
    </row>
    <row r="68" spans="1:25" ht="12.75" customHeight="1" x14ac:dyDescent="0.2">
      <c r="A68" s="301"/>
      <c r="B68" s="301"/>
      <c r="C68" s="301"/>
      <c r="D68" s="301"/>
      <c r="E68" s="301"/>
      <c r="F68" s="301"/>
      <c r="H68" s="306"/>
      <c r="I68" s="306"/>
      <c r="J68" s="306"/>
      <c r="K68" s="306"/>
      <c r="L68" s="306"/>
      <c r="M68" s="306"/>
      <c r="O68" s="304"/>
      <c r="P68" s="304"/>
      <c r="Q68" s="304"/>
      <c r="R68" s="304"/>
      <c r="S68" s="304"/>
      <c r="T68" s="304"/>
      <c r="U68" s="304"/>
      <c r="V68" s="304"/>
      <c r="W68" s="304"/>
      <c r="X68" s="304"/>
    </row>
    <row r="69" spans="1:25" ht="12.75" customHeight="1" x14ac:dyDescent="0.2">
      <c r="A69" s="315" t="s">
        <v>210</v>
      </c>
      <c r="B69" s="315"/>
      <c r="C69" s="315"/>
      <c r="D69" s="315"/>
      <c r="E69" s="315"/>
      <c r="F69" s="315"/>
      <c r="H69" s="306"/>
      <c r="I69" s="306"/>
      <c r="J69" s="306"/>
      <c r="K69" s="306"/>
      <c r="L69" s="306"/>
      <c r="M69" s="306"/>
      <c r="O69" s="307" t="s">
        <v>46</v>
      </c>
      <c r="P69" s="306"/>
      <c r="Q69" s="306"/>
      <c r="R69" s="306"/>
      <c r="S69" s="306"/>
      <c r="T69" s="306"/>
      <c r="U69" s="306"/>
      <c r="V69" s="306"/>
      <c r="W69" s="306"/>
      <c r="X69" s="306"/>
    </row>
    <row r="70" spans="1:25" ht="12.75" customHeight="1" x14ac:dyDescent="0.2">
      <c r="A70" s="315"/>
      <c r="B70" s="315"/>
      <c r="C70" s="315"/>
      <c r="D70" s="315"/>
      <c r="E70" s="315"/>
      <c r="F70" s="315"/>
      <c r="H70" s="306"/>
      <c r="I70" s="306"/>
      <c r="J70" s="306"/>
      <c r="K70" s="306"/>
      <c r="L70" s="306"/>
      <c r="M70" s="306"/>
      <c r="O70" s="322" t="s">
        <v>211</v>
      </c>
      <c r="P70" s="313"/>
      <c r="Q70" s="313"/>
      <c r="R70" s="313"/>
      <c r="S70" s="313"/>
      <c r="T70" s="313"/>
      <c r="U70" s="313"/>
      <c r="V70" s="313"/>
      <c r="W70" s="313"/>
      <c r="X70" s="313"/>
    </row>
    <row r="71" spans="1:25" ht="12.75" customHeight="1" x14ac:dyDescent="0.2">
      <c r="A71" s="315"/>
      <c r="B71" s="315"/>
      <c r="C71" s="315"/>
      <c r="D71" s="315"/>
      <c r="E71" s="315"/>
      <c r="F71" s="315"/>
      <c r="H71" s="306"/>
      <c r="I71" s="306"/>
      <c r="J71" s="306"/>
      <c r="K71" s="306"/>
      <c r="L71" s="306"/>
      <c r="M71" s="306"/>
      <c r="O71" s="313"/>
      <c r="P71" s="313"/>
      <c r="Q71" s="313"/>
      <c r="R71" s="313"/>
      <c r="S71" s="313"/>
      <c r="T71" s="313"/>
      <c r="U71" s="313"/>
      <c r="V71" s="313"/>
      <c r="W71" s="313"/>
      <c r="X71" s="313"/>
    </row>
    <row r="72" spans="1:25" ht="12.75" customHeight="1" x14ac:dyDescent="0.2">
      <c r="A72" s="322" t="s">
        <v>96</v>
      </c>
      <c r="B72" s="322"/>
      <c r="C72" s="322"/>
      <c r="D72" s="322"/>
      <c r="E72" s="322"/>
      <c r="F72" s="322"/>
      <c r="H72" s="306"/>
      <c r="I72" s="306"/>
      <c r="J72" s="306"/>
      <c r="K72" s="306"/>
      <c r="L72" s="306"/>
      <c r="M72" s="306"/>
      <c r="O72" s="313" t="s">
        <v>99</v>
      </c>
      <c r="P72" s="313"/>
      <c r="Q72" s="313"/>
      <c r="R72" s="313"/>
      <c r="S72" s="313"/>
      <c r="T72" s="313"/>
      <c r="U72" s="313"/>
      <c r="V72" s="313"/>
      <c r="W72" s="313"/>
      <c r="X72" s="313"/>
    </row>
    <row r="73" spans="1:25" ht="18.600000000000001" customHeight="1" x14ac:dyDescent="0.2">
      <c r="A73" s="322"/>
      <c r="B73" s="322"/>
      <c r="C73" s="322"/>
      <c r="D73" s="322"/>
      <c r="E73" s="322"/>
      <c r="F73" s="322"/>
      <c r="H73" s="53" t="s">
        <v>106</v>
      </c>
      <c r="I73"/>
      <c r="J73"/>
      <c r="K73"/>
      <c r="L73"/>
      <c r="M73"/>
      <c r="Y73" s="145"/>
    </row>
    <row r="74" spans="1:25" x14ac:dyDescent="0.2">
      <c r="A74" s="314"/>
      <c r="B74" s="314"/>
      <c r="C74" s="314"/>
      <c r="D74" s="314"/>
      <c r="E74" s="314"/>
      <c r="F74" s="314"/>
    </row>
    <row r="75" spans="1:25" x14ac:dyDescent="0.2">
      <c r="A75" s="314"/>
      <c r="B75" s="314"/>
      <c r="C75" s="314"/>
      <c r="D75" s="314"/>
      <c r="E75" s="314"/>
      <c r="F75" s="314"/>
    </row>
    <row r="76" spans="1:25" x14ac:dyDescent="0.2">
      <c r="A76" s="41" t="s">
        <v>108</v>
      </c>
      <c r="B76" s="6"/>
      <c r="C76" s="68"/>
      <c r="D76" s="41"/>
      <c r="E76" s="68"/>
      <c r="F76" s="74"/>
      <c r="L76" s="71"/>
      <c r="U76" s="2"/>
      <c r="W76" s="4"/>
    </row>
    <row r="77" spans="1:25" ht="13.15" customHeight="1" x14ac:dyDescent="0.2">
      <c r="A77" s="315" t="s">
        <v>179</v>
      </c>
      <c r="B77" s="304"/>
      <c r="C77" s="304"/>
      <c r="D77" s="304"/>
      <c r="E77" s="304"/>
      <c r="F77" s="304"/>
      <c r="G77" s="304"/>
      <c r="H77" s="304"/>
      <c r="I77" s="304"/>
      <c r="J77" s="304"/>
      <c r="K77" s="304"/>
      <c r="L77" s="304"/>
      <c r="M77" s="304"/>
      <c r="N77" s="304"/>
      <c r="O77" s="304"/>
      <c r="P77" s="304"/>
      <c r="Q77" s="304"/>
      <c r="R77" s="304"/>
      <c r="S77" s="304"/>
      <c r="T77" s="304"/>
      <c r="U77" s="304"/>
      <c r="V77" s="304"/>
      <c r="W77" s="304"/>
      <c r="X77" s="304"/>
    </row>
    <row r="78" spans="1:25" ht="13.15" customHeight="1" x14ac:dyDescent="0.2">
      <c r="A78" s="304" t="s">
        <v>180</v>
      </c>
      <c r="B78" s="325"/>
      <c r="C78" s="325"/>
      <c r="D78" s="325"/>
      <c r="E78" s="325"/>
      <c r="F78" s="325"/>
      <c r="G78" s="325"/>
      <c r="H78" s="325"/>
      <c r="I78" s="325"/>
      <c r="J78" s="325"/>
      <c r="K78" s="325"/>
      <c r="L78" s="325"/>
      <c r="M78" s="325"/>
      <c r="N78" s="325"/>
      <c r="O78" s="325"/>
      <c r="P78" s="325"/>
      <c r="Q78" s="91"/>
      <c r="R78" s="91"/>
      <c r="S78" s="91"/>
      <c r="T78" s="91"/>
      <c r="U78" s="91"/>
      <c r="V78" s="91"/>
      <c r="W78" s="91"/>
      <c r="X78" s="91"/>
    </row>
    <row r="79" spans="1:25" ht="13.15" customHeight="1" x14ac:dyDescent="0.2">
      <c r="A79" s="315" t="s">
        <v>109</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row>
    <row r="80" spans="1:25" ht="13.15" customHeight="1" x14ac:dyDescent="0.2">
      <c r="A80" s="315" t="s">
        <v>110</v>
      </c>
      <c r="B80" s="304"/>
      <c r="C80" s="304"/>
      <c r="D80" s="304"/>
      <c r="E80" s="304"/>
      <c r="F80" s="304"/>
      <c r="G80" s="304"/>
      <c r="H80" s="304"/>
      <c r="I80" s="304"/>
      <c r="J80" s="304"/>
      <c r="K80" s="304"/>
      <c r="L80" s="304"/>
      <c r="M80" s="304"/>
      <c r="N80" s="304"/>
      <c r="O80" s="304"/>
      <c r="P80" s="304"/>
      <c r="Q80" s="304"/>
      <c r="R80" s="304"/>
      <c r="S80" s="304"/>
      <c r="T80" s="304"/>
      <c r="U80" s="304"/>
      <c r="V80" s="304"/>
      <c r="W80" s="304"/>
      <c r="X80" s="304"/>
    </row>
    <row r="81" spans="1:24" ht="12.75" customHeight="1" x14ac:dyDescent="0.2">
      <c r="A81" s="304" t="s">
        <v>111</v>
      </c>
      <c r="B81" s="304"/>
      <c r="C81" s="304"/>
      <c r="D81" s="304"/>
      <c r="E81" s="304"/>
      <c r="F81" s="304"/>
      <c r="G81" s="304"/>
      <c r="H81" s="304"/>
      <c r="I81" s="304"/>
      <c r="J81" s="304"/>
      <c r="K81" s="304"/>
      <c r="L81" s="304"/>
      <c r="M81" s="304"/>
      <c r="N81" s="304"/>
      <c r="O81" s="304"/>
      <c r="P81" s="304"/>
      <c r="Q81" s="304"/>
      <c r="R81" s="304"/>
      <c r="S81" s="304"/>
      <c r="T81" s="304"/>
      <c r="U81" s="304"/>
      <c r="V81" s="304"/>
      <c r="W81" s="304"/>
      <c r="X81" s="304"/>
    </row>
    <row r="82" spans="1:24" ht="12.75" customHeight="1" x14ac:dyDescent="0.2">
      <c r="A82" s="315" t="s">
        <v>112</v>
      </c>
      <c r="B82" s="304"/>
      <c r="C82" s="304"/>
      <c r="D82" s="304"/>
      <c r="E82" s="304"/>
      <c r="F82" s="304"/>
      <c r="G82" s="304"/>
      <c r="H82" s="304"/>
      <c r="I82" s="304"/>
      <c r="J82" s="304"/>
      <c r="K82" s="304"/>
      <c r="L82" s="304"/>
      <c r="M82" s="304"/>
      <c r="N82" s="304"/>
      <c r="O82" s="304"/>
      <c r="P82" s="304"/>
      <c r="Q82" s="304"/>
      <c r="R82" s="304"/>
      <c r="S82" s="304"/>
      <c r="T82" s="304"/>
      <c r="U82" s="304"/>
      <c r="V82" s="304"/>
      <c r="W82" s="304"/>
      <c r="X82" s="304"/>
    </row>
    <row r="83" spans="1:24" x14ac:dyDescent="0.2">
      <c r="A83" s="325"/>
      <c r="B83" s="325"/>
      <c r="C83" s="325"/>
      <c r="D83" s="325"/>
      <c r="E83" s="325"/>
      <c r="F83" s="325"/>
      <c r="G83" s="325"/>
      <c r="H83" s="325"/>
      <c r="I83" s="325"/>
      <c r="J83" s="325"/>
      <c r="K83" s="325"/>
      <c r="L83" s="325"/>
      <c r="M83" s="325"/>
      <c r="N83" s="325"/>
      <c r="O83" s="325"/>
      <c r="P83" s="325"/>
      <c r="Q83" s="325"/>
      <c r="R83" s="325"/>
      <c r="S83" s="325"/>
      <c r="T83" s="325"/>
      <c r="U83" s="325"/>
      <c r="V83" s="325"/>
      <c r="W83" s="325"/>
      <c r="X83" s="325"/>
    </row>
  </sheetData>
  <sheetProtection password="CC21" sheet="1" objects="1" scenarios="1" selectLockedCells="1"/>
  <customSheetViews>
    <customSheetView guid="{B91870FC-B5B0-4E5E-AD1A-355FE5061E07}" scale="75" showPageBreaks="1" showGridLines="0" fitToPage="1" printArea="1" hiddenColumns="1">
      <selection activeCell="E57" sqref="E57"/>
      <pageMargins left="0.47244094488188981" right="0.35433070866141736" top="0.39370078740157483" bottom="0.35433070866141736" header="0.51181102362204722" footer="0.51181102362204722"/>
      <pageSetup paperSize="9" scale="53" orientation="landscape" r:id="rId1"/>
      <headerFooter alignWithMargins="0"/>
    </customSheetView>
  </customSheetViews>
  <mergeCells count="41">
    <mergeCell ref="A82:X83"/>
    <mergeCell ref="A77:X77"/>
    <mergeCell ref="A79:X79"/>
    <mergeCell ref="A80:X80"/>
    <mergeCell ref="A81:X81"/>
    <mergeCell ref="A78:P78"/>
    <mergeCell ref="A4:P4"/>
    <mergeCell ref="T35:T36"/>
    <mergeCell ref="R14:T14"/>
    <mergeCell ref="O14:P14"/>
    <mergeCell ref="A27:F27"/>
    <mergeCell ref="Q29:S34"/>
    <mergeCell ref="T29:U34"/>
    <mergeCell ref="J14:L14"/>
    <mergeCell ref="H27:I27"/>
    <mergeCell ref="U35:U36"/>
    <mergeCell ref="R35:R36"/>
    <mergeCell ref="H33:M34"/>
    <mergeCell ref="A40:F41"/>
    <mergeCell ref="Q8:S8"/>
    <mergeCell ref="O72:X72"/>
    <mergeCell ref="A74:F75"/>
    <mergeCell ref="A69:F71"/>
    <mergeCell ref="W35:W36"/>
    <mergeCell ref="W29:X34"/>
    <mergeCell ref="O64:X64"/>
    <mergeCell ref="W14:W15"/>
    <mergeCell ref="A72:F73"/>
    <mergeCell ref="O70:X71"/>
    <mergeCell ref="C8:E8"/>
    <mergeCell ref="J8:L8"/>
    <mergeCell ref="O35:P36"/>
    <mergeCell ref="H17:M18"/>
    <mergeCell ref="X35:X36"/>
    <mergeCell ref="H49:I49"/>
    <mergeCell ref="A67:F68"/>
    <mergeCell ref="A65:F66"/>
    <mergeCell ref="O65:X66"/>
    <mergeCell ref="O67:X68"/>
    <mergeCell ref="H65:M72"/>
    <mergeCell ref="O69:X69"/>
  </mergeCells>
  <phoneticPr fontId="5" type="noConversion"/>
  <dataValidations count="4">
    <dataValidation type="list" allowBlank="1" showInputMessage="1" showErrorMessage="1" sqref="W16" xr:uid="{00000000-0002-0000-0300-000000000000}">
      <formula1>$AD$7:$AD$8</formula1>
    </dataValidation>
    <dataValidation type="list" allowBlank="1" showInputMessage="1" showErrorMessage="1" sqref="R16" xr:uid="{00000000-0002-0000-0300-000001000000}">
      <formula1>$AD$1:$AD$2</formula1>
    </dataValidation>
    <dataValidation type="list" allowBlank="1" showInputMessage="1" showErrorMessage="1" sqref="T16" xr:uid="{00000000-0002-0000-0300-000002000000}">
      <formula1>$AD$3:$AD$4</formula1>
    </dataValidation>
    <dataValidation type="list" allowBlank="1" showInputMessage="1" showErrorMessage="1" sqref="Q8" xr:uid="{00000000-0002-0000-0300-000003000000}">
      <formula1>$AD$10:$AD$12</formula1>
    </dataValidation>
  </dataValidations>
  <pageMargins left="0.47244094488188981" right="0.35433070866141736" top="0.39370078740157483" bottom="0.35433070866141736" header="0.51181102362204722" footer="0.51181102362204722"/>
  <pageSetup paperSize="9" scale="53" orientation="landscape" r:id="rId2"/>
  <headerFooter alignWithMargins="0"/>
  <ignoredErrors>
    <ignoredError sqref="E25 C25" formula="1"/>
    <ignoredError sqref="C44 E44"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
  <sheetViews>
    <sheetView zoomScaleNormal="100" workbookViewId="0">
      <selection activeCell="A2" sqref="A2"/>
    </sheetView>
  </sheetViews>
  <sheetFormatPr defaultColWidth="8.85546875" defaultRowHeight="12.75" x14ac:dyDescent="0.2"/>
  <cols>
    <col min="1" max="1" width="11.140625" style="154" customWidth="1"/>
    <col min="2" max="2" width="22.7109375" style="154" customWidth="1"/>
    <col min="3" max="4" width="3" style="154" customWidth="1"/>
    <col min="5" max="6" width="8.85546875" style="154"/>
    <col min="7" max="7" width="26.7109375" style="154" customWidth="1"/>
    <col min="8" max="9" width="3.140625" style="154" customWidth="1"/>
    <col min="10" max="11" width="8.85546875" style="154"/>
    <col min="12" max="12" width="26.42578125" style="154" customWidth="1"/>
    <col min="13" max="13" width="4.42578125" style="154" customWidth="1"/>
    <col min="14" max="15" width="2.7109375" style="154" customWidth="1"/>
    <col min="16" max="16" width="5.28515625" style="154" customWidth="1"/>
    <col min="17" max="17" width="2.5703125" style="154" customWidth="1"/>
    <col min="18" max="16384" width="8.85546875" style="154"/>
  </cols>
  <sheetData>
    <row r="1" spans="1:12" ht="7.9" customHeight="1" x14ac:dyDescent="0.2"/>
    <row r="2" spans="1:12" ht="15" x14ac:dyDescent="0.25">
      <c r="A2" s="233" t="s">
        <v>187</v>
      </c>
      <c r="B2" s="234">
        <f>'Costs and income calculator'!C8</f>
        <v>0</v>
      </c>
      <c r="F2" s="233" t="s">
        <v>189</v>
      </c>
      <c r="G2" s="161">
        <f>'Costs and income calculator'!J8</f>
        <v>0</v>
      </c>
      <c r="K2" s="233" t="s">
        <v>188</v>
      </c>
      <c r="L2" s="161">
        <f>'Costs and income calculator'!Q8</f>
        <v>0</v>
      </c>
    </row>
  </sheetData>
  <sheetProtection password="CC21" sheet="1" objects="1" scenarios="1" selectLockedCells="1" selectUnlockedCells="1"/>
  <customSheetViews>
    <customSheetView guid="{B91870FC-B5B0-4E5E-AD1A-355FE5061E07}" topLeftCell="A4">
      <pageMargins left="0.7" right="0.7" top="0.75" bottom="0.75" header="0.3" footer="0.3"/>
      <pageSetup paperSize="9" scale="87" orientation="landscape" horizontalDpi="300" verticalDpi="300" r:id="rId1"/>
    </customSheetView>
  </customSheetViews>
  <pageMargins left="0.7" right="0.7" top="0.75" bottom="0.75" header="0.3" footer="0.3"/>
  <pageSetup paperSize="9" scale="84" orientation="landscape" horizontalDpi="300"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J50"/>
  <sheetViews>
    <sheetView workbookViewId="0">
      <selection activeCell="C7" sqref="C7"/>
    </sheetView>
  </sheetViews>
  <sheetFormatPr defaultRowHeight="12.75" x14ac:dyDescent="0.2"/>
  <cols>
    <col min="2" max="2" width="7.5703125" style="69" customWidth="1"/>
    <col min="3" max="3" width="9.85546875" style="69" customWidth="1"/>
    <col min="4" max="4" width="36.140625" style="69" bestFit="1" customWidth="1"/>
  </cols>
  <sheetData>
    <row r="1" spans="1:10" x14ac:dyDescent="0.2">
      <c r="A1" s="69" t="s">
        <v>100</v>
      </c>
      <c r="B1" s="69" t="s">
        <v>15</v>
      </c>
      <c r="C1" s="69" t="s">
        <v>14</v>
      </c>
      <c r="D1" s="69" t="s">
        <v>101</v>
      </c>
    </row>
    <row r="2" spans="1:10" x14ac:dyDescent="0.2">
      <c r="A2" s="70">
        <v>50</v>
      </c>
      <c r="B2" s="70">
        <f>+A2*'Costs and income calculator'!$C$25-'Costs and income calculator'!$C$44</f>
        <v>-89.999999999999972</v>
      </c>
      <c r="C2" s="70">
        <f>+A2*'Costs and income calculator'!$E$25-'Costs and income calculator'!$E$44</f>
        <v>-156.40625</v>
      </c>
      <c r="D2" s="70">
        <f>+A2*'Costs and income calculator'!$J$19-'Costs and income calculator'!$J$44</f>
        <v>-20.154320987654312</v>
      </c>
    </row>
    <row r="3" spans="1:10" x14ac:dyDescent="0.2">
      <c r="A3" s="70">
        <v>100</v>
      </c>
      <c r="B3" s="70">
        <f>+A3*'Costs and income calculator'!$C$25-'Costs and income calculator'!$C$44</f>
        <v>125.51724137931041</v>
      </c>
      <c r="C3" s="70">
        <f>+A3*'Costs and income calculator'!$E$25-'Costs and income calculator'!$E$44</f>
        <v>374.84375</v>
      </c>
      <c r="D3" s="70">
        <f>+A3*'Costs and income calculator'!$J$19-'Costs and income calculator'!$J$44</f>
        <v>9.8456790123456912</v>
      </c>
    </row>
    <row r="4" spans="1:10" x14ac:dyDescent="0.2">
      <c r="A4" s="70">
        <v>150</v>
      </c>
      <c r="B4" s="70">
        <f>+A4*'Costs and income calculator'!$C$25-'Costs and income calculator'!$C$44</f>
        <v>341.0344827586207</v>
      </c>
      <c r="C4" s="70">
        <f>+A4*'Costs and income calculator'!$E$25-'Costs and income calculator'!$E$44</f>
        <v>906.09375</v>
      </c>
      <c r="D4" s="70">
        <f>+A4*'Costs and income calculator'!$J$19-'Costs and income calculator'!$J$44</f>
        <v>39.845679012345698</v>
      </c>
    </row>
    <row r="5" spans="1:10" x14ac:dyDescent="0.2">
      <c r="A5" s="70">
        <v>200</v>
      </c>
      <c r="B5" s="70">
        <f>+A5*'Costs and income calculator'!$C$25-'Costs and income calculator'!$C$44</f>
        <v>556.55172413793116</v>
      </c>
      <c r="C5" s="70">
        <f>+A5*'Costs and income calculator'!$E$25-'Costs and income calculator'!$E$44</f>
        <v>1437.34375</v>
      </c>
      <c r="D5" s="70">
        <f>+A5*'Costs and income calculator'!$J$19-'Costs and income calculator'!$J$44</f>
        <v>69.845679012345698</v>
      </c>
    </row>
    <row r="6" spans="1:10" x14ac:dyDescent="0.2">
      <c r="A6" s="70">
        <v>250</v>
      </c>
      <c r="B6" s="70">
        <f>+A6*'Costs and income calculator'!$C$25-'Costs and income calculator'!$C$44</f>
        <v>772.06896551724151</v>
      </c>
      <c r="C6" s="70">
        <f>+A6*'Costs and income calculator'!$E$25-'Costs and income calculator'!$E$44</f>
        <v>1968.59375</v>
      </c>
      <c r="D6" s="70">
        <f>+A6*'Costs and income calculator'!$J$19-'Costs and income calculator'!$J$44</f>
        <v>99.845679012345713</v>
      </c>
    </row>
    <row r="7" spans="1:10" x14ac:dyDescent="0.2">
      <c r="A7" s="70">
        <v>300</v>
      </c>
      <c r="B7" s="70">
        <f>+A7*'Costs and income calculator'!$C$25-'Costs and income calculator'!$C$44</f>
        <v>987.58620689655174</v>
      </c>
      <c r="C7" s="70">
        <f>+A7*'Costs and income calculator'!$E$25-'Costs and income calculator'!$E$44</f>
        <v>2499.84375</v>
      </c>
      <c r="D7" s="70">
        <f>+A7*'Costs and income calculator'!$J$19-'Costs and income calculator'!$J$44</f>
        <v>129.84567901234573</v>
      </c>
    </row>
    <row r="8" spans="1:10" x14ac:dyDescent="0.2">
      <c r="A8" s="70">
        <v>350</v>
      </c>
      <c r="B8" s="70">
        <f>+A8*'Costs and income calculator'!$C$25-'Costs and income calculator'!$C$44</f>
        <v>1203.1034482758623</v>
      </c>
      <c r="C8" s="70"/>
      <c r="D8" s="70">
        <f>+A8*'Costs and income calculator'!$J$19-'Costs and income calculator'!$J$44</f>
        <v>159.84567901234573</v>
      </c>
    </row>
    <row r="9" spans="1:10" x14ac:dyDescent="0.2">
      <c r="A9" s="70">
        <v>400</v>
      </c>
      <c r="B9" s="70">
        <f>+A9*'Costs and income calculator'!$C$25-'Costs and income calculator'!$C$44</f>
        <v>1418.6206896551726</v>
      </c>
      <c r="C9" s="70"/>
      <c r="D9" s="70">
        <f>+A9*'Costs and income calculator'!$J$19-'Costs and income calculator'!$J$44</f>
        <v>189.84567901234573</v>
      </c>
    </row>
    <row r="10" spans="1:10" x14ac:dyDescent="0.2">
      <c r="A10" s="70">
        <v>450</v>
      </c>
      <c r="B10" s="70">
        <f>+A10*'Costs and income calculator'!$C$25-'Costs and income calculator'!$C$44</f>
        <v>1634.1379310344828</v>
      </c>
      <c r="D10" s="70">
        <f>+A10*'Costs and income calculator'!$J$19-'Costs and income calculator'!$J$44</f>
        <v>219.84567901234573</v>
      </c>
    </row>
    <row r="11" spans="1:10" x14ac:dyDescent="0.2">
      <c r="A11" s="70">
        <v>500</v>
      </c>
      <c r="B11" s="70">
        <f>+A11*'Costs and income calculator'!$C$25-'Costs and income calculator'!$C$44</f>
        <v>1849.6551724137935</v>
      </c>
      <c r="D11" s="70">
        <f>+A11*'Costs and income calculator'!$J$19-'Costs and income calculator'!$J$44</f>
        <v>249.84567901234573</v>
      </c>
    </row>
    <row r="12" spans="1:10" x14ac:dyDescent="0.2">
      <c r="A12" s="70">
        <v>550</v>
      </c>
      <c r="B12" s="70">
        <f>+A12*'Costs and income calculator'!$C$25-'Costs and income calculator'!$C$44</f>
        <v>2065.1724137931037</v>
      </c>
      <c r="D12" s="70">
        <f>+A12*'Costs and income calculator'!$J$19-'Costs and income calculator'!$J$44</f>
        <v>279.84567901234573</v>
      </c>
    </row>
    <row r="13" spans="1:10" x14ac:dyDescent="0.2">
      <c r="A13" s="70">
        <v>600</v>
      </c>
      <c r="B13" s="70">
        <f>+A13*'Costs and income calculator'!$C$25-'Costs and income calculator'!$C$44</f>
        <v>2280.6896551724139</v>
      </c>
      <c r="D13" s="70">
        <f>+A13*'Costs and income calculator'!$J$19-'Costs and income calculator'!$J$44</f>
        <v>309.84567901234573</v>
      </c>
    </row>
    <row r="14" spans="1:10" x14ac:dyDescent="0.2">
      <c r="A14" s="70"/>
      <c r="B14" s="70"/>
      <c r="D14" s="70"/>
    </row>
    <row r="15" spans="1:10" s="28" customFormat="1" x14ac:dyDescent="0.2">
      <c r="A15" s="41"/>
      <c r="B15" s="54"/>
      <c r="C15" s="348"/>
      <c r="D15" s="348"/>
      <c r="F15" s="41"/>
      <c r="H15" s="348"/>
      <c r="I15" s="348"/>
      <c r="J15" s="348"/>
    </row>
    <row r="49" spans="1:1" x14ac:dyDescent="0.2">
      <c r="A49" s="41" t="s">
        <v>107</v>
      </c>
    </row>
    <row r="50" spans="1:1" x14ac:dyDescent="0.2">
      <c r="A50" t="s">
        <v>113</v>
      </c>
    </row>
  </sheetData>
  <customSheetViews>
    <customSheetView guid="{B91870FC-B5B0-4E5E-AD1A-355FE5061E07}" state="hidden">
      <selection activeCell="C7" sqref="C7"/>
      <pageMargins left="0.75" right="0.75" top="1" bottom="1" header="0.5" footer="0.5"/>
      <pageSetup paperSize="9" orientation="portrait" r:id="rId1"/>
      <headerFooter alignWithMargins="0"/>
    </customSheetView>
  </customSheetViews>
  <mergeCells count="2">
    <mergeCell ref="C15:D15"/>
    <mergeCell ref="H15:J15"/>
  </mergeCells>
  <phoneticPr fontId="5" type="noConversion"/>
  <pageMargins left="0.75" right="0.75" top="1" bottom="1" header="0.5" footer="0.5"/>
  <pageSetup paperSize="9"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2F3B8D0E5B1C418BA394A51B0F84BE" ma:contentTypeVersion="15" ma:contentTypeDescription="Create a new document." ma:contentTypeScope="" ma:versionID="7e5027156bc409d0d67bad541abbf662">
  <xsd:schema xmlns:xsd="http://www.w3.org/2001/XMLSchema" xmlns:xs="http://www.w3.org/2001/XMLSchema" xmlns:p="http://schemas.microsoft.com/office/2006/metadata/properties" xmlns:ns2="9659678f-4396-456e-9e0f-b94126230745" xmlns:ns3="e11b4af8-3878-4560-a517-2c8d011bef2e" targetNamespace="http://schemas.microsoft.com/office/2006/metadata/properties" ma:root="true" ma:fieldsID="874b35f04c97d85fa6f76e73efa6ffb2" ns2:_="" ns3:_="">
    <xsd:import namespace="9659678f-4396-456e-9e0f-b94126230745"/>
    <xsd:import namespace="e11b4af8-3878-4560-a517-2c8d011bef2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9678f-4396-456e-9e0f-b94126230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bdf0909-8fa8-4d1b-9a1b-de2a33257f50"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1b4af8-3878-4560-a517-2c8d011bef2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c73e0dc-2303-4ad9-a180-fee8154ff505}" ma:internalName="TaxCatchAll" ma:showField="CatchAllData" ma:web="e11b4af8-3878-4560-a517-2c8d011bef2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1A0599-8BB4-4FC5-BFF2-DE71779EFD94}"/>
</file>

<file path=customXml/itemProps2.xml><?xml version="1.0" encoding="utf-8"?>
<ds:datastoreItem xmlns:ds="http://schemas.openxmlformats.org/officeDocument/2006/customXml" ds:itemID="{9A069595-A570-4542-B29E-4D29E7EEBA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Calculating crop dry matter</vt:lpstr>
      <vt:lpstr>Printable DM recording sheet</vt:lpstr>
      <vt:lpstr>Costs and income calculator</vt:lpstr>
      <vt:lpstr>Price sensitivity chart</vt:lpstr>
      <vt:lpstr>Price sensitivity data</vt:lpstr>
      <vt:lpstr>'Calculating crop dry matter'!Print_Area</vt:lpstr>
      <vt:lpstr>'Costs and income calculator'!Print_Area</vt:lpstr>
      <vt:lpstr>Introduction!Print_Area</vt:lpstr>
      <vt:lpstr>'Price sensitivity chart'!Print_Area</vt:lpstr>
      <vt:lpstr>'Printable DM recording sheet'!Print_Area</vt:lpstr>
    </vt:vector>
  </TitlesOfParts>
  <Company>NSW Department Of Primary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Plant Industries</dc:creator>
  <cp:lastModifiedBy>Andrew  Ware</cp:lastModifiedBy>
  <cp:lastPrinted>2018-09-12T01:09:47Z</cp:lastPrinted>
  <dcterms:created xsi:type="dcterms:W3CDTF">2006-09-29T00:23:13Z</dcterms:created>
  <dcterms:modified xsi:type="dcterms:W3CDTF">2024-09-20T03:30:49Z</dcterms:modified>
</cp:coreProperties>
</file>